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Holland, David" algorithmName="SHA-512" hashValue="ZYL3QL03pJAmHgEQww7RR8r5JeGuhWpW5rCYFT6w3nvv4Iz40TIOTL8iKydxYotPQLTqfiLm4FTG4uiyzAalvQ==" saltValue="Xnu/ockzLRF6UJKDsNBviw==" spinCount="100000"/>
  <workbookPr codeName="ThisWorkbook"/>
  <mc:AlternateContent xmlns:mc="http://schemas.openxmlformats.org/markup-compatibility/2006">
    <mc:Choice Requires="x15">
      <x15ac:absPath xmlns:x15ac="http://schemas.microsoft.com/office/spreadsheetml/2010/11/ac" url="http://spwshare/ensites/reg/licfin/RFPR 2122/01_Consol/02_Final/"/>
    </mc:Choice>
  </mc:AlternateContent>
  <xr:revisionPtr revIDLastSave="0" documentId="13_ncr:10001_{40614D1A-80A2-4859-A16D-A09D9B0A197E}" xr6:coauthVersionLast="47" xr6:coauthVersionMax="47" xr10:uidLastSave="{00000000-0000-0000-0000-000000000000}"/>
  <bookViews>
    <workbookView xWindow="-28920" yWindow="-9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28" l="1"/>
  <c r="F27" i="28" l="1"/>
  <c r="E27" i="28" l="1"/>
  <c r="B21" i="1" l="1"/>
  <c r="B3" i="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I8" i="27"/>
  <c r="H8" i="27"/>
  <c r="K52" i="27"/>
  <c r="J52" i="27"/>
  <c r="I52" i="27"/>
  <c r="H52" i="27"/>
  <c r="G52" i="27"/>
  <c r="F52" i="27"/>
  <c r="E52" i="27"/>
  <c r="D52" i="27"/>
  <c r="B3" i="27"/>
  <c r="A3" i="27"/>
  <c r="A2" i="27"/>
  <c r="L6" i="17"/>
  <c r="B3" i="17"/>
  <c r="A3" i="17"/>
  <c r="A2" i="17"/>
  <c r="K17" i="3"/>
  <c r="J17" i="3"/>
  <c r="I17" i="3"/>
  <c r="I18" i="4" s="1"/>
  <c r="H17" i="3"/>
  <c r="G17" i="3"/>
  <c r="F17" i="3"/>
  <c r="E17" i="3"/>
  <c r="D17" i="3"/>
  <c r="K12" i="3"/>
  <c r="K17" i="4" s="1"/>
  <c r="J12" i="3"/>
  <c r="I12" i="3"/>
  <c r="I17" i="4" s="1"/>
  <c r="H12" i="3"/>
  <c r="G12" i="3"/>
  <c r="F12" i="3"/>
  <c r="E12" i="3"/>
  <c r="D12" i="3"/>
  <c r="B3" i="3"/>
  <c r="A3" i="3"/>
  <c r="A2" i="3"/>
  <c r="K102" i="5"/>
  <c r="K15" i="4" s="1"/>
  <c r="J102" i="5"/>
  <c r="I102" i="5"/>
  <c r="I15" i="4" s="1"/>
  <c r="H102" i="5"/>
  <c r="G102" i="5"/>
  <c r="G15" i="4" s="1"/>
  <c r="F102" i="5"/>
  <c r="F15" i="4" s="1"/>
  <c r="E102" i="5"/>
  <c r="D102" i="5"/>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E65" i="5" s="1"/>
  <c r="A61" i="5"/>
  <c r="I61" i="5" s="1"/>
  <c r="A57" i="5"/>
  <c r="E57" i="5" s="1"/>
  <c r="A53" i="5"/>
  <c r="I53" i="5" s="1"/>
  <c r="A49" i="5"/>
  <c r="E49" i="5" s="1"/>
  <c r="A45" i="5"/>
  <c r="A44" i="5"/>
  <c r="A43" i="5"/>
  <c r="A42" i="5"/>
  <c r="A41" i="5"/>
  <c r="A40" i="5"/>
  <c r="A39" i="5"/>
  <c r="A25" i="5"/>
  <c r="A24" i="5"/>
  <c r="A23" i="5"/>
  <c r="A22" i="5"/>
  <c r="A21" i="5"/>
  <c r="K18" i="5"/>
  <c r="I18" i="5"/>
  <c r="H18" i="5"/>
  <c r="G18" i="5"/>
  <c r="F18" i="5"/>
  <c r="E18" i="5"/>
  <c r="D18" i="5"/>
  <c r="M17" i="5"/>
  <c r="M16" i="5"/>
  <c r="M15" i="5"/>
  <c r="M14"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H58" i="2" s="1"/>
  <c r="G44" i="2"/>
  <c r="F44" i="2"/>
  <c r="E44" i="2"/>
  <c r="D44"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H45" i="4"/>
  <c r="H66" i="4" s="1"/>
  <c r="H68" i="4" s="1"/>
  <c r="G45" i="4"/>
  <c r="G66" i="4" s="1"/>
  <c r="G68" i="4" s="1"/>
  <c r="F45" i="4"/>
  <c r="E45" i="4"/>
  <c r="D45" i="4"/>
  <c r="K18" i="4"/>
  <c r="G18" i="4"/>
  <c r="J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F158" i="28" s="1"/>
  <c r="E192" i="28"/>
  <c r="F157" i="28" s="1"/>
  <c r="B192" i="28"/>
  <c r="F156" i="28" s="1"/>
  <c r="E182" i="28"/>
  <c r="F155" i="28" s="1"/>
  <c r="B182" i="28"/>
  <c r="F159"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I66" i="4" l="1"/>
  <c r="I68" i="4" s="1"/>
  <c r="F31" i="2"/>
  <c r="J55" i="17"/>
  <c r="D29" i="10"/>
  <c r="E16" i="10" s="1"/>
  <c r="E18" i="10" s="1"/>
  <c r="E29" i="10" s="1"/>
  <c r="F16" i="10" s="1"/>
  <c r="F18" i="10" s="1"/>
  <c r="F29" i="10" s="1"/>
  <c r="G16" i="10" s="1"/>
  <c r="G18" i="10" s="1"/>
  <c r="G29" i="10" s="1"/>
  <c r="H16" i="10" s="1"/>
  <c r="H18" i="10" s="1"/>
  <c r="H29" i="10" s="1"/>
  <c r="F17" i="4"/>
  <c r="F18" i="4"/>
  <c r="G17" i="4"/>
  <c r="G26" i="4" s="1"/>
  <c r="G28" i="4" s="1"/>
  <c r="H17" i="4"/>
  <c r="H18" i="4"/>
  <c r="E17" i="4"/>
  <c r="D15" i="4"/>
  <c r="E15" i="4"/>
  <c r="J17" i="4"/>
  <c r="J18" i="4"/>
  <c r="E18" i="4"/>
  <c r="H15" i="4"/>
  <c r="D17" i="4"/>
  <c r="D18" i="4"/>
  <c r="I49" i="5"/>
  <c r="I57" i="5"/>
  <c r="I65" i="5"/>
  <c r="F66" i="4"/>
  <c r="F68" i="4" s="1"/>
  <c r="E66" i="4"/>
  <c r="E68" i="4" s="1"/>
  <c r="D66" i="4"/>
  <c r="D68" i="4" s="1"/>
  <c r="K31" i="2"/>
  <c r="I31" i="2"/>
  <c r="I58" i="2"/>
  <c r="M73" i="5"/>
  <c r="E156" i="28"/>
  <c r="I26" i="4"/>
  <c r="I28" i="4" s="1"/>
  <c r="M14" i="2"/>
  <c r="M42" i="2"/>
  <c r="M56" i="2"/>
  <c r="K47" i="2"/>
  <c r="K26" i="4"/>
  <c r="K28" i="4" s="1"/>
  <c r="E31" i="2"/>
  <c r="E58" i="2"/>
  <c r="G19" i="2"/>
  <c r="E48" i="15"/>
  <c r="E80" i="15" s="1"/>
  <c r="G48" i="15"/>
  <c r="G80" i="15" s="1"/>
  <c r="I48" i="15"/>
  <c r="I80" i="15" s="1"/>
  <c r="K48" i="15"/>
  <c r="K80" i="15" s="1"/>
  <c r="D48" i="15"/>
  <c r="D80" i="15" s="1"/>
  <c r="F48" i="15"/>
  <c r="F80" i="15" s="1"/>
  <c r="H48" i="15"/>
  <c r="H80" i="15" s="1"/>
  <c r="J48" i="15"/>
  <c r="J80" i="15" s="1"/>
  <c r="M28" i="2"/>
  <c r="J49" i="5"/>
  <c r="H49" i="5"/>
  <c r="F49" i="5"/>
  <c r="D49" i="5"/>
  <c r="G49" i="5"/>
  <c r="K49" i="5"/>
  <c r="E53"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K55" i="17"/>
  <c r="D19" i="2"/>
  <c r="J18" i="2"/>
  <c r="F46" i="2"/>
  <c r="K8" i="27"/>
  <c r="I59" i="2"/>
  <c r="K46" i="2"/>
  <c r="G18" i="2"/>
  <c r="K18" i="2"/>
  <c r="G30" i="2"/>
  <c r="F47" i="2"/>
  <c r="G31" i="2"/>
  <c r="E46" i="2"/>
  <c r="E62" i="2" s="1"/>
  <c r="I46" i="2"/>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I19" i="2"/>
  <c r="I30" i="2"/>
  <c r="G58" i="2"/>
  <c r="G59" i="2"/>
  <c r="K58" i="2"/>
  <c r="K62" i="2" s="1"/>
  <c r="K59" i="2"/>
  <c r="K63" i="2" s="1"/>
  <c r="G46" i="2"/>
  <c r="G47" i="2"/>
  <c r="E18" i="2"/>
  <c r="I18" i="2"/>
  <c r="F19" i="2"/>
  <c r="F35" i="2" s="1"/>
  <c r="J19" i="2"/>
  <c r="E30" i="2"/>
  <c r="J30" i="2"/>
  <c r="J31" i="2"/>
  <c r="D59" i="2"/>
  <c r="D46" i="2"/>
  <c r="H59" i="2"/>
  <c r="H46" i="2"/>
  <c r="H62" i="2" s="1"/>
  <c r="H47" i="2"/>
  <c r="F18" i="2"/>
  <c r="K19" i="2"/>
  <c r="F30" i="2"/>
  <c r="K30" i="2"/>
  <c r="D47" i="2"/>
  <c r="D58" i="2"/>
  <c r="E47" i="2"/>
  <c r="I47" i="2"/>
  <c r="E8" i="27"/>
  <c r="F8" i="27"/>
  <c r="G8" i="27"/>
  <c r="J34" i="2" l="1"/>
  <c r="K35" i="2"/>
  <c r="I16" i="10"/>
  <c r="I18" i="10" s="1"/>
  <c r="I29" i="10" s="1"/>
  <c r="D26" i="4"/>
  <c r="D28" i="4" s="1"/>
  <c r="E26" i="4"/>
  <c r="E28" i="4" s="1"/>
  <c r="I35" i="2"/>
  <c r="H26" i="4"/>
  <c r="H28" i="4" s="1"/>
  <c r="I34" i="2"/>
  <c r="I69" i="2" s="1"/>
  <c r="J26" i="4"/>
  <c r="J28" i="4" s="1"/>
  <c r="F26" i="4"/>
  <c r="F28" i="4" s="1"/>
  <c r="E35" i="2"/>
  <c r="D50" i="15"/>
  <c r="F62" i="2"/>
  <c r="G35" i="2"/>
  <c r="G62" i="2"/>
  <c r="I62" i="2"/>
  <c r="I63" i="2"/>
  <c r="G63" i="2"/>
  <c r="M65" i="5"/>
  <c r="M49" i="5"/>
  <c r="M69" i="5"/>
  <c r="M61" i="5"/>
  <c r="M53" i="5"/>
  <c r="B153" i="28"/>
  <c r="G34" i="2"/>
  <c r="K34" i="2"/>
  <c r="K69" i="2" s="1"/>
  <c r="J35" i="2"/>
  <c r="J36" i="2" s="1"/>
  <c r="F63" i="2"/>
  <c r="F70" i="2" s="1"/>
  <c r="M58" i="2"/>
  <c r="M59" i="2"/>
  <c r="H35" i="2"/>
  <c r="E63" i="2"/>
  <c r="E64" i="2" s="1"/>
  <c r="K64" i="2"/>
  <c r="D78" i="2"/>
  <c r="E6" i="2"/>
  <c r="D5" i="2"/>
  <c r="D77" i="2"/>
  <c r="E6" i="27"/>
  <c r="D5" i="27"/>
  <c r="D5" i="20"/>
  <c r="E6" i="20"/>
  <c r="F6" i="15"/>
  <c r="E5" i="15"/>
  <c r="E50" i="15" s="1"/>
  <c r="K70" i="2"/>
  <c r="K49" i="1"/>
  <c r="F34" i="2"/>
  <c r="H34" i="2"/>
  <c r="M31" i="2"/>
  <c r="D5" i="1"/>
  <c r="E6" i="1"/>
  <c r="E6" i="29"/>
  <c r="E5" i="29" s="1"/>
  <c r="D22" i="29"/>
  <c r="E6" i="10"/>
  <c r="E5" i="10" s="1"/>
  <c r="D40" i="10"/>
  <c r="D43" i="10" s="1"/>
  <c r="D47" i="10" s="1"/>
  <c r="D36" i="10"/>
  <c r="D63" i="2"/>
  <c r="M47" i="2"/>
  <c r="G64"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E81" i="5" s="1"/>
  <c r="D54" i="5"/>
  <c r="D55" i="5" s="1"/>
  <c r="D5" i="17"/>
  <c r="E6" i="11"/>
  <c r="D5" i="11"/>
  <c r="D5" i="19"/>
  <c r="E6" i="19"/>
  <c r="D33" i="28"/>
  <c r="C36" i="28"/>
  <c r="C35" i="28"/>
  <c r="D34" i="10" s="1"/>
  <c r="D38" i="10" s="1"/>
  <c r="C34" i="28"/>
  <c r="C32" i="28"/>
  <c r="D35" i="2"/>
  <c r="J8" i="27"/>
  <c r="E5" i="17"/>
  <c r="F6" i="17"/>
  <c r="I49" i="1" l="1"/>
  <c r="I36" i="2"/>
  <c r="J16" i="10"/>
  <c r="J18" i="10" s="1"/>
  <c r="J29" i="10" s="1"/>
  <c r="K16" i="10" s="1"/>
  <c r="K18" i="10" s="1"/>
  <c r="K29" i="10" s="1"/>
  <c r="D63" i="27"/>
  <c r="G69" i="2"/>
  <c r="G36" i="2"/>
  <c r="G70" i="2"/>
  <c r="I70" i="2"/>
  <c r="I71" i="2" s="1"/>
  <c r="I64" i="2"/>
  <c r="G49" i="1"/>
  <c r="K36" i="2"/>
  <c r="D45" i="10"/>
  <c r="D49" i="10" s="1"/>
  <c r="D46" i="10"/>
  <c r="D65" i="1" s="1"/>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D34" i="28"/>
  <c r="D32" i="28"/>
  <c r="F6" i="11"/>
  <c r="E5" i="11"/>
  <c r="F6" i="4"/>
  <c r="E5" i="4"/>
  <c r="B97" i="5"/>
  <c r="B44" i="5"/>
  <c r="B69" i="5"/>
  <c r="B91" i="5"/>
  <c r="B61" i="5"/>
  <c r="B42" i="5"/>
  <c r="B54" i="1" s="1"/>
  <c r="M62" i="2"/>
  <c r="D64" i="2"/>
  <c r="D69" i="2"/>
  <c r="D36" i="2"/>
  <c r="M34" i="2"/>
  <c r="F6" i="29"/>
  <c r="F5" i="29" s="1"/>
  <c r="E22" i="29"/>
  <c r="H64" i="2"/>
  <c r="J69" i="2"/>
  <c r="D35" i="10"/>
  <c r="D39" i="29"/>
  <c r="D41" i="17"/>
  <c r="D8" i="20"/>
  <c r="D57" i="1" s="1"/>
  <c r="D14" i="19"/>
  <c r="D86" i="2"/>
  <c r="D28" i="3"/>
  <c r="D56" i="1" s="1"/>
  <c r="F6" i="19"/>
  <c r="E5" i="19"/>
  <c r="D40" i="5"/>
  <c r="E96" i="5"/>
  <c r="E90" i="5"/>
  <c r="E84" i="5"/>
  <c r="E99" i="5"/>
  <c r="E70" i="5"/>
  <c r="E71" i="5" s="1"/>
  <c r="E44" i="5" s="1"/>
  <c r="E54" i="5"/>
  <c r="E55" i="5" s="1"/>
  <c r="E40" i="5" s="1"/>
  <c r="E52" i="1" s="1"/>
  <c r="F6"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F6" i="10"/>
  <c r="F5" i="10" s="1"/>
  <c r="F6" i="1"/>
  <c r="E5" i="1"/>
  <c r="G6" i="15"/>
  <c r="F5" i="15"/>
  <c r="F50" i="15" s="1"/>
  <c r="E5" i="27"/>
  <c r="F6" i="27"/>
  <c r="J49" i="1"/>
  <c r="D45" i="5"/>
  <c r="D44" i="5"/>
  <c r="D39" i="5"/>
  <c r="F6" i="3"/>
  <c r="E5" i="3"/>
  <c r="B85" i="5"/>
  <c r="B40" i="5"/>
  <c r="B52" i="1" s="1"/>
  <c r="B53" i="5"/>
  <c r="B100" i="5"/>
  <c r="B73" i="5"/>
  <c r="B45" i="5"/>
  <c r="E36" i="2"/>
  <c r="E69" i="2"/>
  <c r="D56" i="27"/>
  <c r="F69" i="2"/>
  <c r="F71" i="2" s="1"/>
  <c r="F36" i="2"/>
  <c r="F6" i="20"/>
  <c r="E5" i="20"/>
  <c r="K71" i="2"/>
  <c r="G6" i="17"/>
  <c r="F5" i="17"/>
  <c r="G71" i="2" l="1"/>
  <c r="E56" i="27"/>
  <c r="D53" i="10"/>
  <c r="J71" i="2"/>
  <c r="D50" i="10"/>
  <c r="D51" i="10" s="1"/>
  <c r="H71" i="2"/>
  <c r="E71" i="2"/>
  <c r="M70" i="2"/>
  <c r="D54" i="10"/>
  <c r="B33" i="1"/>
  <c r="B14" i="1"/>
  <c r="D46" i="5"/>
  <c r="D51" i="1"/>
  <c r="D13" i="1" s="1"/>
  <c r="G6" i="19"/>
  <c r="F5" i="19"/>
  <c r="G6" i="4"/>
  <c r="F5" i="4"/>
  <c r="E41" i="17"/>
  <c r="E8" i="20"/>
  <c r="E57" i="1" s="1"/>
  <c r="E35" i="10"/>
  <c r="E14" i="19"/>
  <c r="E39" i="29"/>
  <c r="E86" i="2"/>
  <c r="E28" i="3"/>
  <c r="E56" i="1" s="1"/>
  <c r="E79" i="2"/>
  <c r="B36" i="1"/>
  <c r="B17" i="1"/>
  <c r="D53" i="1"/>
  <c r="D15" i="1" s="1"/>
  <c r="E45" i="10"/>
  <c r="E49" i="10" s="1"/>
  <c r="E46" i="10"/>
  <c r="E63" i="27"/>
  <c r="D55" i="1"/>
  <c r="D17" i="1" s="1"/>
  <c r="D52" i="1"/>
  <c r="D14" i="1" s="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71" i="2"/>
  <c r="M69" i="2"/>
  <c r="F5" i="11"/>
  <c r="G6" i="11"/>
  <c r="G6" i="3"/>
  <c r="F5" i="3"/>
  <c r="G6" i="27"/>
  <c r="F5" i="27"/>
  <c r="G6" i="10"/>
  <c r="G5" i="10" s="1"/>
  <c r="F40" i="10"/>
  <c r="F43" i="10" s="1"/>
  <c r="F47" i="10" s="1"/>
  <c r="E46" i="5"/>
  <c r="E51" i="1"/>
  <c r="G6" i="29"/>
  <c r="G5" i="29" s="1"/>
  <c r="F22" i="29"/>
  <c r="M64" i="2"/>
  <c r="E36" i="28"/>
  <c r="E35" i="28"/>
  <c r="F34" i="10" s="1"/>
  <c r="F38" i="10" s="1"/>
  <c r="E34" i="28"/>
  <c r="E32" i="28"/>
  <c r="F33" i="28"/>
  <c r="B32" i="1"/>
  <c r="B13" i="1"/>
  <c r="D54" i="1"/>
  <c r="D16" i="1" s="1"/>
  <c r="N49" i="1"/>
  <c r="D11" i="1"/>
  <c r="D12" i="1"/>
  <c r="D18" i="1"/>
  <c r="D19" i="1"/>
  <c r="D80" i="17"/>
  <c r="D57" i="10"/>
  <c r="G5" i="17"/>
  <c r="H6" i="17"/>
  <c r="H5" i="17" s="1"/>
  <c r="E80" i="17" l="1"/>
  <c r="F56" i="27"/>
  <c r="D48" i="1"/>
  <c r="D10" i="1" s="1"/>
  <c r="D20" i="1" s="1"/>
  <c r="D55" i="10"/>
  <c r="D58" i="10"/>
  <c r="D59" i="10" s="1"/>
  <c r="M71" i="2"/>
  <c r="E23" i="29"/>
  <c r="F41" i="17"/>
  <c r="F14" i="19"/>
  <c r="F35" i="10"/>
  <c r="F8" i="20"/>
  <c r="F57" i="1" s="1"/>
  <c r="F86" i="2"/>
  <c r="F28" i="3"/>
  <c r="F56" i="1" s="1"/>
  <c r="F39" i="29"/>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F35" i="28"/>
  <c r="G34" i="10" s="1"/>
  <c r="G38" i="10" s="1"/>
  <c r="F34" i="28"/>
  <c r="F32" i="28"/>
  <c r="G22" i="29"/>
  <c r="H6" i="29"/>
  <c r="H5" i="29" s="1"/>
  <c r="H6" i="27"/>
  <c r="G5" i="27"/>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G40" i="10"/>
  <c r="G43" i="10" s="1"/>
  <c r="G47" i="10" s="1"/>
  <c r="D81" i="15"/>
  <c r="D82" i="15"/>
  <c r="F39" i="5"/>
  <c r="F44" i="5"/>
  <c r="H6" i="1"/>
  <c r="G5" i="1"/>
  <c r="E50" i="1"/>
  <c r="I6" i="17"/>
  <c r="G56" i="27" l="1"/>
  <c r="D58" i="1"/>
  <c r="E92" i="2"/>
  <c r="E96" i="2" s="1"/>
  <c r="E55" i="10"/>
  <c r="E120" i="2"/>
  <c r="E125" i="2" s="1"/>
  <c r="G79" i="2"/>
  <c r="G50" i="1" s="1"/>
  <c r="F46" i="5"/>
  <c r="F51" i="1"/>
  <c r="H5" i="1"/>
  <c r="I6" i="1"/>
  <c r="I6" i="10"/>
  <c r="I5" i="10" s="1"/>
  <c r="H40" i="10"/>
  <c r="H43" i="10" s="1"/>
  <c r="H47" i="10" s="1"/>
  <c r="E106" i="2"/>
  <c r="E81" i="15"/>
  <c r="E82" i="15"/>
  <c r="G41" i="17"/>
  <c r="G14" i="19"/>
  <c r="G28" i="3"/>
  <c r="G56" i="1" s="1"/>
  <c r="G86" i="2"/>
  <c r="G35" i="10"/>
  <c r="G8" i="20"/>
  <c r="G57" i="1" s="1"/>
  <c r="G39" i="29"/>
  <c r="H5" i="4"/>
  <c r="I6" i="4"/>
  <c r="D109" i="2"/>
  <c r="D108" i="2"/>
  <c r="F57" i="10"/>
  <c r="F80" i="17"/>
  <c r="E15" i="1"/>
  <c r="E17" i="1"/>
  <c r="E11" i="1"/>
  <c r="E16" i="1"/>
  <c r="E18" i="1"/>
  <c r="E14" i="1"/>
  <c r="E19" i="1"/>
  <c r="J6" i="15"/>
  <c r="I5" i="15"/>
  <c r="F53" i="10"/>
  <c r="E13" i="1"/>
  <c r="E12" i="1"/>
  <c r="I6" i="27"/>
  <c r="H5" i="27"/>
  <c r="G40" i="5"/>
  <c r="G46" i="5" s="1"/>
  <c r="D97" i="2"/>
  <c r="D96" i="2"/>
  <c r="E51" i="10"/>
  <c r="E48" i="1"/>
  <c r="E58" i="10"/>
  <c r="E59" i="10" s="1"/>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H22" i="29"/>
  <c r="G51" i="1"/>
  <c r="F23" i="29"/>
  <c r="G45" i="10"/>
  <c r="G49" i="10" s="1"/>
  <c r="G63" i="27"/>
  <c r="G46" i="10"/>
  <c r="H78" i="2"/>
  <c r="I6" i="2"/>
  <c r="H77" i="2"/>
  <c r="H5" i="2"/>
  <c r="H5" i="20"/>
  <c r="I6" i="20"/>
  <c r="H33" i="28"/>
  <c r="G32" i="28"/>
  <c r="G35" i="28"/>
  <c r="H34" i="10" s="1"/>
  <c r="H38" i="10" s="1"/>
  <c r="G34" i="28"/>
  <c r="G36" i="28"/>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J6" i="17"/>
  <c r="I5" i="17"/>
  <c r="H56" i="27" l="1"/>
  <c r="E97" i="2"/>
  <c r="E124" i="2"/>
  <c r="G23" i="29"/>
  <c r="D140" i="2"/>
  <c r="D141" i="2"/>
  <c r="F92" i="2"/>
  <c r="F97" i="2" s="1"/>
  <c r="D112" i="2"/>
  <c r="F106" i="2"/>
  <c r="F109" i="2" s="1"/>
  <c r="D113" i="2"/>
  <c r="I33" i="28"/>
  <c r="H32" i="28"/>
  <c r="H79" i="2"/>
  <c r="G80"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08" i="2"/>
  <c r="E112" i="2" s="1"/>
  <c r="H63" i="27"/>
  <c r="H46" i="10"/>
  <c r="H45" i="10"/>
  <c r="H49" i="10" s="1"/>
  <c r="F17" i="1"/>
  <c r="F15" i="1"/>
  <c r="F11" i="1"/>
  <c r="F14" i="1"/>
  <c r="F16" i="1"/>
  <c r="H44" i="5"/>
  <c r="H54" i="1"/>
  <c r="H51" i="1"/>
  <c r="H8" i="20"/>
  <c r="H57" i="1" s="1"/>
  <c r="H28" i="3"/>
  <c r="H56" i="1" s="1"/>
  <c r="H14" i="19"/>
  <c r="H41" i="17"/>
  <c r="H35" i="10"/>
  <c r="H39" i="29"/>
  <c r="H23" i="29" s="1"/>
  <c r="H86" i="2"/>
  <c r="J6" i="20"/>
  <c r="I5" i="20"/>
  <c r="F18" i="1"/>
  <c r="J6" i="10"/>
  <c r="J5" i="10" s="1"/>
  <c r="I40" i="10"/>
  <c r="I43" i="10" s="1"/>
  <c r="I47" i="10" s="1"/>
  <c r="J6" i="1"/>
  <c r="I5" i="1"/>
  <c r="F19"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J6" i="11"/>
  <c r="I5" i="11"/>
  <c r="E58" i="1"/>
  <c r="E10" i="1"/>
  <c r="E20" i="1" s="1"/>
  <c r="I5" i="27"/>
  <c r="J6" i="27"/>
  <c r="F58" i="10"/>
  <c r="F59" i="10" s="1"/>
  <c r="I50" i="15"/>
  <c r="F13" i="1"/>
  <c r="F10" i="1"/>
  <c r="F58" i="1"/>
  <c r="H41" i="5"/>
  <c r="I78" i="2"/>
  <c r="I77" i="2"/>
  <c r="I5" i="2"/>
  <c r="J6" i="2"/>
  <c r="J6" i="29"/>
  <c r="J5" i="29" s="1"/>
  <c r="I22" i="29"/>
  <c r="E137" i="2"/>
  <c r="E141" i="2" s="1"/>
  <c r="E136" i="2"/>
  <c r="J6" i="3"/>
  <c r="I5" i="3"/>
  <c r="F55" i="10"/>
  <c r="K6" i="15"/>
  <c r="K5" i="15" s="1"/>
  <c r="J5" i="15"/>
  <c r="J6" i="4"/>
  <c r="I5" i="4"/>
  <c r="G54" i="10"/>
  <c r="G53" i="10"/>
  <c r="G57" i="10"/>
  <c r="K6" i="17"/>
  <c r="J5" i="17"/>
  <c r="E113" i="2" l="1"/>
  <c r="E148" i="2" s="1"/>
  <c r="D147" i="2"/>
  <c r="F20" i="1"/>
  <c r="E140" i="2"/>
  <c r="E142" i="2" s="1"/>
  <c r="G58" i="10"/>
  <c r="G59" i="10" s="1"/>
  <c r="D142" i="2"/>
  <c r="F96" i="2"/>
  <c r="D148" i="2"/>
  <c r="G92" i="2"/>
  <c r="G97" i="2" s="1"/>
  <c r="F113" i="2"/>
  <c r="F108" i="2"/>
  <c r="D114" i="2"/>
  <c r="G55" i="10"/>
  <c r="J50" i="15"/>
  <c r="K6" i="3"/>
  <c r="K5" i="3" s="1"/>
  <c r="J5" i="3"/>
  <c r="H53" i="1"/>
  <c r="I51" i="1"/>
  <c r="I46" i="5"/>
  <c r="I46" i="10"/>
  <c r="I63" i="27"/>
  <c r="I45" i="10"/>
  <c r="I49" i="10" s="1"/>
  <c r="G18" i="1"/>
  <c r="H53" i="10"/>
  <c r="H57" i="10"/>
  <c r="H80" i="17"/>
  <c r="G81" i="15"/>
  <c r="G82" i="15"/>
  <c r="G14" i="1"/>
  <c r="K6" i="19"/>
  <c r="K5" i="19" s="1"/>
  <c r="J5" i="19"/>
  <c r="H50" i="1"/>
  <c r="I32" i="28"/>
  <c r="J33" i="28"/>
  <c r="J40" i="10"/>
  <c r="J43" i="10" s="1"/>
  <c r="J47" i="10" s="1"/>
  <c r="K6" i="10"/>
  <c r="K5" i="10" s="1"/>
  <c r="J32" i="10"/>
  <c r="K6" i="20"/>
  <c r="K5" i="20" s="1"/>
  <c r="J5" i="20"/>
  <c r="H54" i="10"/>
  <c r="H50" i="10"/>
  <c r="H65" i="1"/>
  <c r="H19" i="1" s="1"/>
  <c r="F136" i="2"/>
  <c r="F137" i="2"/>
  <c r="K6" i="29"/>
  <c r="K5" i="29" s="1"/>
  <c r="J22" i="29"/>
  <c r="I79" i="2"/>
  <c r="G58" i="1"/>
  <c r="G10" i="1"/>
  <c r="H101" i="2"/>
  <c r="H130" i="2"/>
  <c r="H132" i="2"/>
  <c r="H131" i="2"/>
  <c r="H100" i="2"/>
  <c r="H118" i="2"/>
  <c r="H104" i="2"/>
  <c r="H103" i="2"/>
  <c r="H91" i="2"/>
  <c r="H102" i="2"/>
  <c r="H129" i="2"/>
  <c r="H128" i="2"/>
  <c r="H105" i="2"/>
  <c r="H90" i="2"/>
  <c r="H119" i="2"/>
  <c r="H133" i="2"/>
  <c r="H46" i="5"/>
  <c r="F125" i="2"/>
  <c r="F124" i="2"/>
  <c r="G51" i="10"/>
  <c r="K50" i="15"/>
  <c r="K5" i="17"/>
  <c r="L47" i="17"/>
  <c r="K6" i="4"/>
  <c r="K5" i="4" s="1"/>
  <c r="J5" i="4"/>
  <c r="J77" i="2"/>
  <c r="J78" i="2"/>
  <c r="K6" i="2"/>
  <c r="L56" i="2" s="1"/>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 i="5"/>
  <c r="J74" i="5"/>
  <c r="J75" i="5" s="1"/>
  <c r="J66" i="5"/>
  <c r="J67" i="5" s="1"/>
  <c r="J43" i="5" s="1"/>
  <c r="J70" i="5"/>
  <c r="J71" i="5" s="1"/>
  <c r="J54" i="5"/>
  <c r="J55" i="5" s="1"/>
  <c r="J50" i="5"/>
  <c r="J51" i="5" s="1"/>
  <c r="J39" i="5" s="1"/>
  <c r="J62" i="5"/>
  <c r="J63" i="5" s="1"/>
  <c r="J42" i="5" s="1"/>
  <c r="K6" i="5"/>
  <c r="L16" i="5" s="1"/>
  <c r="L14" i="5"/>
  <c r="K6" i="1"/>
  <c r="J5" i="1"/>
  <c r="L41" i="2"/>
  <c r="L46" i="2"/>
  <c r="G120" i="2"/>
  <c r="G134" i="2"/>
  <c r="G106" i="2"/>
  <c r="L26" i="2"/>
  <c r="L53" i="2"/>
  <c r="E114" i="2" l="1"/>
  <c r="D149" i="2"/>
  <c r="E147" i="2"/>
  <c r="E149" i="2" s="1"/>
  <c r="G20" i="1"/>
  <c r="L23" i="2"/>
  <c r="L11" i="5"/>
  <c r="L36" i="2"/>
  <c r="L17" i="5"/>
  <c r="L40" i="2"/>
  <c r="L42" i="2" s="1"/>
  <c r="L30" i="2"/>
  <c r="L24" i="2"/>
  <c r="L50" i="2"/>
  <c r="L69" i="5"/>
  <c r="L62" i="2"/>
  <c r="L52" i="2"/>
  <c r="L65" i="5"/>
  <c r="L59" i="2"/>
  <c r="L73" i="5"/>
  <c r="L35" i="2"/>
  <c r="L64" i="2"/>
  <c r="L61" i="5"/>
  <c r="L55" i="2"/>
  <c r="L53" i="5"/>
  <c r="L71" i="2"/>
  <c r="L54" i="2"/>
  <c r="L15" i="5"/>
  <c r="L28" i="2"/>
  <c r="L70" i="2"/>
  <c r="F112" i="2"/>
  <c r="F114" i="2" s="1"/>
  <c r="G96" i="2"/>
  <c r="H18" i="1"/>
  <c r="H55" i="10"/>
  <c r="J79" i="2"/>
  <c r="J50" i="1" s="1"/>
  <c r="K99" i="5"/>
  <c r="K93" i="5"/>
  <c r="K87" i="5"/>
  <c r="K81" i="5"/>
  <c r="K84" i="5"/>
  <c r="K74" i="5"/>
  <c r="K75" i="5" s="1"/>
  <c r="K45" i="5" s="1"/>
  <c r="K62" i="5"/>
  <c r="K63" i="5" s="1"/>
  <c r="L63" i="5" s="1"/>
  <c r="K90" i="5"/>
  <c r="K96" i="5"/>
  <c r="K70" i="5"/>
  <c r="K71" i="5" s="1"/>
  <c r="K54" i="5"/>
  <c r="K55" i="5" s="1"/>
  <c r="K40" i="5" s="1"/>
  <c r="K52" i="1" s="1"/>
  <c r="K58" i="5"/>
  <c r="K59" i="5" s="1"/>
  <c r="K41" i="5" s="1"/>
  <c r="K53" i="1" s="1"/>
  <c r="K5" i="5"/>
  <c r="K66" i="5"/>
  <c r="K67" i="5" s="1"/>
  <c r="L67" i="5" s="1"/>
  <c r="K50" i="5"/>
  <c r="K51" i="5" s="1"/>
  <c r="L51" i="5" s="1"/>
  <c r="L49" i="5"/>
  <c r="L75" i="5"/>
  <c r="L12" i="5"/>
  <c r="J44" i="5"/>
  <c r="L71" i="5"/>
  <c r="F140" i="2"/>
  <c r="H120" i="2"/>
  <c r="H51" i="10"/>
  <c r="H48" i="1"/>
  <c r="H13" i="1"/>
  <c r="K32" i="10"/>
  <c r="K40" i="10"/>
  <c r="K43" i="10" s="1"/>
  <c r="K47" i="10" s="1"/>
  <c r="H16" i="1"/>
  <c r="I65" i="1"/>
  <c r="I13" i="1" s="1"/>
  <c r="I50" i="10"/>
  <c r="I48" i="1" s="1"/>
  <c r="H15" i="1"/>
  <c r="G137" i="2"/>
  <c r="G136" i="2"/>
  <c r="G124" i="2"/>
  <c r="G125" i="2"/>
  <c r="J54" i="1"/>
  <c r="J55" i="1"/>
  <c r="K77" i="2"/>
  <c r="K78" i="2"/>
  <c r="K5" i="2"/>
  <c r="L77" i="2"/>
  <c r="L25" i="2"/>
  <c r="L69" i="2"/>
  <c r="H81" i="15"/>
  <c r="H82" i="15"/>
  <c r="F141" i="2"/>
  <c r="J46" i="10"/>
  <c r="J45" i="10"/>
  <c r="J49" i="10" s="1"/>
  <c r="J63" i="27"/>
  <c r="H58" i="10"/>
  <c r="H59" i="10" s="1"/>
  <c r="J51" i="1"/>
  <c r="J45" i="5"/>
  <c r="L45" i="5" s="1"/>
  <c r="K5" i="27"/>
  <c r="H92" i="2"/>
  <c r="H106" i="2"/>
  <c r="I50" i="1"/>
  <c r="H12" i="1"/>
  <c r="I80" i="17"/>
  <c r="G109" i="2"/>
  <c r="G108" i="2"/>
  <c r="K5" i="1"/>
  <c r="M49" i="1"/>
  <c r="J40" i="5"/>
  <c r="L14" i="2"/>
  <c r="H134" i="2"/>
  <c r="K22" i="29"/>
  <c r="H11" i="1"/>
  <c r="H14" i="1"/>
  <c r="H17" i="1"/>
  <c r="J32" i="28"/>
  <c r="L55" i="5" l="1"/>
  <c r="M55" i="5"/>
  <c r="G141" i="2"/>
  <c r="L79" i="2"/>
  <c r="K79" i="2"/>
  <c r="K50" i="1" s="1"/>
  <c r="N50" i="1" s="1"/>
  <c r="I51" i="10"/>
  <c r="M75" i="5"/>
  <c r="G140" i="2"/>
  <c r="H96" i="2"/>
  <c r="H97" i="2"/>
  <c r="I11" i="1"/>
  <c r="I17" i="1"/>
  <c r="I14" i="1"/>
  <c r="I15" i="1"/>
  <c r="I16" i="1"/>
  <c r="F142" i="2"/>
  <c r="F147" i="2"/>
  <c r="G112" i="2"/>
  <c r="I12" i="1"/>
  <c r="M50" i="1"/>
  <c r="H109" i="2"/>
  <c r="H108" i="2"/>
  <c r="F148" i="2"/>
  <c r="H58" i="1"/>
  <c r="H10" i="1"/>
  <c r="H20" i="1" s="1"/>
  <c r="K39" i="5"/>
  <c r="L39" i="5" s="1"/>
  <c r="M51" i="5"/>
  <c r="K42" i="5"/>
  <c r="L42" i="5" s="1"/>
  <c r="M63" i="5"/>
  <c r="H136" i="2"/>
  <c r="H137" i="2"/>
  <c r="J52" i="1"/>
  <c r="M40" i="5"/>
  <c r="L40" i="5"/>
  <c r="G113" i="2"/>
  <c r="J80" i="17"/>
  <c r="K46" i="10"/>
  <c r="K45" i="10"/>
  <c r="K49" i="10" s="1"/>
  <c r="K63" i="27"/>
  <c r="H125" i="2"/>
  <c r="H124" i="2"/>
  <c r="K43" i="5"/>
  <c r="L43" i="5" s="1"/>
  <c r="M67" i="5"/>
  <c r="K44" i="5"/>
  <c r="M44" i="5" s="1"/>
  <c r="M71" i="5"/>
  <c r="M45" i="5"/>
  <c r="J65" i="1"/>
  <c r="J50" i="10"/>
  <c r="J48" i="1" s="1"/>
  <c r="M77" i="2"/>
  <c r="I10" i="1"/>
  <c r="H112" i="2" l="1"/>
  <c r="L44" i="5"/>
  <c r="G142" i="2"/>
  <c r="M79" i="2"/>
  <c r="H113" i="2"/>
  <c r="J16" i="1"/>
  <c r="J10" i="1"/>
  <c r="K65" i="1"/>
  <c r="N11" i="1" s="1"/>
  <c r="K50" i="10"/>
  <c r="K48" i="1" s="1"/>
  <c r="N48" i="1" s="1"/>
  <c r="J11" i="1"/>
  <c r="J12" i="1"/>
  <c r="J13" i="1"/>
  <c r="H141" i="2"/>
  <c r="K54" i="1"/>
  <c r="M42" i="5"/>
  <c r="K46" i="5"/>
  <c r="K51" i="1"/>
  <c r="M13" i="1" s="1"/>
  <c r="M39" i="5"/>
  <c r="M48" i="1"/>
  <c r="G114" i="2"/>
  <c r="G147" i="2"/>
  <c r="G148" i="2"/>
  <c r="J51" i="10"/>
  <c r="H140" i="2"/>
  <c r="M10" i="1"/>
  <c r="J17" i="1"/>
  <c r="K55" i="1"/>
  <c r="M17" i="1" s="1"/>
  <c r="M43" i="5"/>
  <c r="K80" i="17"/>
  <c r="J14" i="1"/>
  <c r="N52" i="1"/>
  <c r="M14" i="1"/>
  <c r="M52" i="1"/>
  <c r="M12" i="1"/>
  <c r="F149" i="2"/>
  <c r="M11" i="1"/>
  <c r="L80" i="17" l="1"/>
  <c r="M54" i="1"/>
  <c r="K82" i="15"/>
  <c r="M51" i="1"/>
  <c r="M55" i="1"/>
  <c r="M16" i="1"/>
  <c r="H148" i="2"/>
  <c r="M80" i="17"/>
  <c r="H114" i="2"/>
  <c r="N10" i="1"/>
  <c r="K51" i="10"/>
  <c r="N12" i="1"/>
  <c r="N14" i="1"/>
  <c r="K16" i="1"/>
  <c r="N54" i="1"/>
  <c r="N16" i="1"/>
  <c r="H142" i="2"/>
  <c r="K13" i="1"/>
  <c r="N13" i="1"/>
  <c r="N51" i="1"/>
  <c r="K10" i="1"/>
  <c r="K17" i="1"/>
  <c r="N17" i="1"/>
  <c r="N55" i="1"/>
  <c r="H147" i="2"/>
  <c r="K11" i="1"/>
  <c r="K14" i="1"/>
  <c r="K15" i="1"/>
  <c r="K12" i="1"/>
  <c r="G149" i="2"/>
  <c r="H149" i="2" l="1"/>
  <c r="D32" i="10" l="1"/>
  <c r="E32" i="10"/>
  <c r="F32" i="10"/>
  <c r="G32" i="10"/>
  <c r="H32" i="10"/>
  <c r="I32" i="10"/>
  <c r="H35" i="28" l="1"/>
  <c r="I34" i="10" s="1"/>
  <c r="I38" i="10" s="1"/>
  <c r="I56" i="27" l="1"/>
  <c r="H36" i="28"/>
  <c r="H34" i="28"/>
  <c r="I14" i="19" l="1"/>
  <c r="I39" i="29"/>
  <c r="I86" i="2"/>
  <c r="I35" i="10"/>
  <c r="I41" i="17"/>
  <c r="I28" i="3"/>
  <c r="I56" i="1" s="1"/>
  <c r="I8" i="20"/>
  <c r="I57" i="1" s="1"/>
  <c r="I54" i="10" l="1"/>
  <c r="I53" i="10"/>
  <c r="I57" i="10"/>
  <c r="I58" i="10"/>
  <c r="I58" i="1"/>
  <c r="I18" i="1"/>
  <c r="I19" i="1"/>
  <c r="I128" i="2"/>
  <c r="I104" i="2"/>
  <c r="I101" i="2"/>
  <c r="I132" i="2"/>
  <c r="I105" i="2"/>
  <c r="I129" i="2"/>
  <c r="I103" i="2"/>
  <c r="I131" i="2"/>
  <c r="I91" i="2"/>
  <c r="I119" i="2"/>
  <c r="I90" i="2"/>
  <c r="I133" i="2"/>
  <c r="I118" i="2"/>
  <c r="I130" i="2"/>
  <c r="I100" i="2"/>
  <c r="I102" i="2"/>
  <c r="I23" i="29"/>
  <c r="I34" i="29" s="1"/>
  <c r="I59" i="10" l="1"/>
  <c r="I55" i="10"/>
  <c r="I120" i="2"/>
  <c r="I20" i="1"/>
  <c r="I92" i="2"/>
  <c r="I134" i="2"/>
  <c r="I81" i="15"/>
  <c r="I82" i="15"/>
  <c r="I106" i="2"/>
  <c r="I109" i="2" l="1"/>
  <c r="I108" i="2"/>
  <c r="I137" i="2"/>
  <c r="I136" i="2"/>
  <c r="I125" i="2"/>
  <c r="I124" i="2"/>
  <c r="I97" i="2"/>
  <c r="I96" i="2"/>
  <c r="I112" i="2" l="1"/>
  <c r="I113" i="2"/>
  <c r="I140" i="2"/>
  <c r="I141" i="2"/>
  <c r="I148" i="2" l="1"/>
  <c r="I142" i="2"/>
  <c r="I114" i="2"/>
  <c r="I147" i="2"/>
  <c r="I149" i="2" l="1"/>
  <c r="I35" i="28" l="1"/>
  <c r="J34" i="10" s="1"/>
  <c r="J38" i="10" s="1"/>
  <c r="J56" i="27" l="1"/>
  <c r="J35" i="28"/>
  <c r="K34" i="10" s="1"/>
  <c r="K38" i="10" s="1"/>
  <c r="K56" i="27" s="1"/>
  <c r="I36" i="28"/>
  <c r="I34" i="28"/>
  <c r="J8" i="20" l="1"/>
  <c r="J36" i="28"/>
  <c r="J34" i="28"/>
  <c r="J35" i="10"/>
  <c r="J57" i="1"/>
  <c r="J41" i="17"/>
  <c r="J39" i="29"/>
  <c r="J86" i="2"/>
  <c r="J28" i="3"/>
  <c r="J56" i="1" s="1"/>
  <c r="J14" i="19"/>
  <c r="J56" i="17" l="1"/>
  <c r="K8" i="20"/>
  <c r="K57" i="1" s="1"/>
  <c r="K28" i="3"/>
  <c r="K56" i="1" s="1"/>
  <c r="N18" i="1" s="1"/>
  <c r="K86" i="2"/>
  <c r="K41" i="17"/>
  <c r="K14" i="19"/>
  <c r="K39" i="29"/>
  <c r="K35" i="10"/>
  <c r="J18" i="1"/>
  <c r="M18" i="1"/>
  <c r="M56" i="1"/>
  <c r="J57" i="10"/>
  <c r="J58" i="10"/>
  <c r="J53" i="10"/>
  <c r="J54" i="10"/>
  <c r="J133" i="2"/>
  <c r="L133" i="2" s="1"/>
  <c r="J105" i="2"/>
  <c r="L105" i="2" s="1"/>
  <c r="J130" i="2"/>
  <c r="L130" i="2" s="1"/>
  <c r="J104" i="2"/>
  <c r="L104" i="2" s="1"/>
  <c r="J129" i="2"/>
  <c r="L129" i="2" s="1"/>
  <c r="J100" i="2"/>
  <c r="J118" i="2"/>
  <c r="L118" i="2" s="1"/>
  <c r="J90" i="2"/>
  <c r="J102" i="2"/>
  <c r="L102" i="2" s="1"/>
  <c r="J128" i="2"/>
  <c r="J131" i="2"/>
  <c r="L131" i="2" s="1"/>
  <c r="J91" i="2"/>
  <c r="J132" i="2"/>
  <c r="L132" i="2" s="1"/>
  <c r="J103" i="2"/>
  <c r="L103" i="2" s="1"/>
  <c r="J101" i="2"/>
  <c r="L101" i="2" s="1"/>
  <c r="J119" i="2"/>
  <c r="J23" i="29"/>
  <c r="J34" i="29" s="1"/>
  <c r="J19" i="1"/>
  <c r="M19" i="1"/>
  <c r="M57" i="1"/>
  <c r="K56" i="17" l="1"/>
  <c r="N19" i="1"/>
  <c r="N57" i="1"/>
  <c r="N56" i="1"/>
  <c r="J55" i="10"/>
  <c r="J120" i="2"/>
  <c r="L119" i="2"/>
  <c r="L120" i="2" s="1"/>
  <c r="J82" i="15"/>
  <c r="J81" i="15"/>
  <c r="L90" i="2"/>
  <c r="K58" i="10"/>
  <c r="K57" i="10"/>
  <c r="K54" i="10"/>
  <c r="K53" i="10"/>
  <c r="J106" i="2"/>
  <c r="L100" i="2"/>
  <c r="K23" i="29"/>
  <c r="K34" i="29" s="1"/>
  <c r="J59" i="10"/>
  <c r="J92" i="2"/>
  <c r="L91" i="2"/>
  <c r="K101" i="2"/>
  <c r="M101" i="2" s="1"/>
  <c r="K129" i="2"/>
  <c r="M129" i="2" s="1"/>
  <c r="K90" i="2"/>
  <c r="M90" i="2" s="1"/>
  <c r="K130" i="2"/>
  <c r="M130" i="2" s="1"/>
  <c r="K91" i="2"/>
  <c r="K119" i="2"/>
  <c r="K132" i="2"/>
  <c r="M132" i="2" s="1"/>
  <c r="K100" i="2"/>
  <c r="M100" i="2" s="1"/>
  <c r="K104" i="2"/>
  <c r="M104" i="2" s="1"/>
  <c r="K128" i="2"/>
  <c r="M128" i="2" s="1"/>
  <c r="K105" i="2"/>
  <c r="M105" i="2" s="1"/>
  <c r="K133" i="2"/>
  <c r="M133" i="2" s="1"/>
  <c r="K103" i="2"/>
  <c r="M103" i="2" s="1"/>
  <c r="K118" i="2"/>
  <c r="M118" i="2" s="1"/>
  <c r="K131" i="2"/>
  <c r="M131" i="2" s="1"/>
  <c r="K102" i="2"/>
  <c r="M102" i="2" s="1"/>
  <c r="K18" i="1"/>
  <c r="K58" i="1"/>
  <c r="J134" i="2"/>
  <c r="L128" i="2"/>
  <c r="K19" i="1"/>
  <c r="L92" i="2" l="1"/>
  <c r="K59" i="10"/>
  <c r="K92" i="2"/>
  <c r="K96" i="2" s="1"/>
  <c r="K120" i="2"/>
  <c r="J96" i="2"/>
  <c r="J97" i="2"/>
  <c r="K20" i="1"/>
  <c r="K81" i="15"/>
  <c r="K55" i="10"/>
  <c r="K134" i="2"/>
  <c r="M134" i="2" s="1"/>
  <c r="J108" i="2"/>
  <c r="L108" i="2" s="1"/>
  <c r="J109" i="2"/>
  <c r="L109" i="2" s="1"/>
  <c r="L106" i="2"/>
  <c r="J137" i="2"/>
  <c r="L137" i="2" s="1"/>
  <c r="J136" i="2"/>
  <c r="L136" i="2" s="1"/>
  <c r="L134" i="2"/>
  <c r="M119" i="2"/>
  <c r="M120" i="2" s="1"/>
  <c r="K106" i="2"/>
  <c r="M91" i="2"/>
  <c r="M92" i="2" s="1"/>
  <c r="J124" i="2"/>
  <c r="J125" i="2"/>
  <c r="K97" i="2" l="1"/>
  <c r="M97" i="2" s="1"/>
  <c r="J112" i="2"/>
  <c r="M96" i="2"/>
  <c r="L96" i="2"/>
  <c r="J113" i="2"/>
  <c r="L97" i="2"/>
  <c r="K124" i="2"/>
  <c r="M124" i="2" s="1"/>
  <c r="K125" i="2"/>
  <c r="J141" i="2"/>
  <c r="L141" i="2" s="1"/>
  <c r="L125" i="2"/>
  <c r="K136" i="2"/>
  <c r="M136" i="2" s="1"/>
  <c r="K137" i="2"/>
  <c r="M137" i="2" s="1"/>
  <c r="J140" i="2"/>
  <c r="L124" i="2"/>
  <c r="K109" i="2"/>
  <c r="M109" i="2" s="1"/>
  <c r="K108" i="2"/>
  <c r="M108" i="2" s="1"/>
  <c r="M106" i="2"/>
  <c r="K112" i="2" l="1"/>
  <c r="M112" i="2" s="1"/>
  <c r="K113" i="2"/>
  <c r="M113" i="2" s="1"/>
  <c r="J142" i="2"/>
  <c r="L142" i="2" s="1"/>
  <c r="L140" i="2"/>
  <c r="J148" i="2"/>
  <c r="L148" i="2" s="1"/>
  <c r="L113" i="2"/>
  <c r="K140" i="2"/>
  <c r="M125" i="2"/>
  <c r="K141" i="2"/>
  <c r="M141" i="2" s="1"/>
  <c r="J147" i="2"/>
  <c r="J114" i="2"/>
  <c r="L114" i="2" s="1"/>
  <c r="L112" i="2"/>
  <c r="K147" i="2" l="1"/>
  <c r="M147" i="2" s="1"/>
  <c r="K114" i="2"/>
  <c r="M114" i="2" s="1"/>
  <c r="K148" i="2"/>
  <c r="M148" i="2" s="1"/>
  <c r="K142" i="2"/>
  <c r="M142" i="2" s="1"/>
  <c r="J149" i="2"/>
  <c r="L149" i="2" s="1"/>
  <c r="L147" i="2"/>
  <c r="M140" i="2"/>
  <c r="K149" i="2" l="1"/>
  <c r="M149" i="2" s="1"/>
  <c r="J57" i="5" l="1"/>
  <c r="L13" i="5"/>
  <c r="L18" i="5" s="1"/>
  <c r="M13" i="5"/>
  <c r="M18" i="5" s="1"/>
  <c r="J18" i="5"/>
  <c r="M57" i="5" l="1"/>
  <c r="J59" i="5"/>
  <c r="L57" i="5"/>
  <c r="J41" i="5" l="1"/>
  <c r="M59" i="5"/>
  <c r="L59" i="5"/>
  <c r="J46" i="5" l="1"/>
  <c r="J53" i="1"/>
  <c r="M41" i="5"/>
  <c r="M46" i="5" s="1"/>
  <c r="L41" i="5"/>
  <c r="L46" i="5" s="1"/>
  <c r="M15" i="1" l="1"/>
  <c r="M20" i="1" s="1"/>
  <c r="N15" i="1"/>
  <c r="M53" i="1"/>
  <c r="M58" i="1" s="1"/>
  <c r="J58" i="1"/>
  <c r="J15" i="1"/>
  <c r="J20" i="1" s="1"/>
  <c r="N53" i="1"/>
  <c r="N58" i="1" s="1"/>
  <c r="N20" i="1" l="1"/>
  <c r="K23" i="27" l="1"/>
  <c r="J23" i="27" l="1"/>
  <c r="G23" i="27"/>
  <c r="G42" i="27" s="1"/>
  <c r="I23" i="27"/>
  <c r="H23" i="27"/>
  <c r="F23" i="27"/>
  <c r="E23" i="27"/>
  <c r="E42" i="27" s="1"/>
  <c r="D23" i="27"/>
  <c r="D42" i="27" s="1"/>
  <c r="M48" i="17"/>
  <c r="L48" i="17"/>
  <c r="M52" i="17"/>
  <c r="L52" i="17"/>
  <c r="K42" i="27"/>
  <c r="F42" i="27"/>
  <c r="M51" i="17"/>
  <c r="L51" i="17"/>
  <c r="J42" i="27"/>
  <c r="M50" i="17"/>
  <c r="L50" i="17"/>
  <c r="H42" i="27"/>
  <c r="M49" i="17"/>
  <c r="L49" i="17"/>
  <c r="M53" i="17"/>
  <c r="L53" i="17"/>
  <c r="I42" i="27"/>
  <c r="F44" i="27" l="1"/>
  <c r="F48" i="27" s="1"/>
  <c r="G47" i="27" s="1"/>
  <c r="J44" i="27"/>
  <c r="J48" i="27" s="1"/>
  <c r="K47" i="27" s="1"/>
  <c r="F55" i="17"/>
  <c r="F56" i="17" s="1"/>
  <c r="E44" i="27"/>
  <c r="E48" i="27" s="1"/>
  <c r="F47" i="27" s="1"/>
  <c r="I55" i="17"/>
  <c r="I56" i="17" s="1"/>
  <c r="G55" i="17"/>
  <c r="G56" i="17" s="1"/>
  <c r="G44" i="27"/>
  <c r="G48" i="27" s="1"/>
  <c r="H47" i="27" s="1"/>
  <c r="H44" i="27"/>
  <c r="H48" i="27" s="1"/>
  <c r="I47" i="27" s="1"/>
  <c r="H55" i="17"/>
  <c r="H56" i="17" s="1"/>
  <c r="E55" i="17"/>
  <c r="E56" i="17" s="1"/>
  <c r="I44" i="27"/>
  <c r="I48" i="27" s="1"/>
  <c r="J47" i="27" s="1"/>
  <c r="D44" i="27"/>
  <c r="D48" i="27" s="1"/>
  <c r="J54" i="27" l="1"/>
  <c r="J57" i="27" s="1"/>
  <c r="F28" i="17"/>
  <c r="F30" i="17" s="1"/>
  <c r="F33" i="17" s="1"/>
  <c r="H54" i="27"/>
  <c r="D28" i="17"/>
  <c r="D30" i="17" s="1"/>
  <c r="D107" i="17" s="1"/>
  <c r="F54" i="27"/>
  <c r="F55" i="27" s="1"/>
  <c r="H28" i="17"/>
  <c r="H30" i="17" s="1"/>
  <c r="G54" i="27"/>
  <c r="I28" i="17"/>
  <c r="I30" i="17" s="1"/>
  <c r="J55" i="27"/>
  <c r="I54" i="27"/>
  <c r="E28" i="17"/>
  <c r="E30" i="17" s="1"/>
  <c r="G28" i="17"/>
  <c r="G30" i="17" s="1"/>
  <c r="D55" i="17"/>
  <c r="M46" i="17"/>
  <c r="L46" i="17"/>
  <c r="E47" i="27"/>
  <c r="E54" i="27" s="1"/>
  <c r="D54" i="27"/>
  <c r="D57" i="27" s="1"/>
  <c r="H57" i="27" l="1"/>
  <c r="H55" i="27"/>
  <c r="D33" i="17"/>
  <c r="F107" i="17"/>
  <c r="F98" i="17"/>
  <c r="F39" i="17"/>
  <c r="F43" i="17" s="1"/>
  <c r="F86" i="17" s="1"/>
  <c r="F57" i="27"/>
  <c r="F62" i="27" s="1"/>
  <c r="F66" i="1" s="1"/>
  <c r="G33" i="17"/>
  <c r="G98" i="17"/>
  <c r="G107" i="17"/>
  <c r="E33" i="17"/>
  <c r="E98" i="17"/>
  <c r="E107" i="17"/>
  <c r="H39" i="17"/>
  <c r="H43" i="17" s="1"/>
  <c r="H86" i="17" s="1"/>
  <c r="H33" i="17"/>
  <c r="H98" i="17"/>
  <c r="H107" i="17"/>
  <c r="I107" i="17"/>
  <c r="I98" i="17"/>
  <c r="E57" i="27"/>
  <c r="E39" i="17"/>
  <c r="E55" i="27"/>
  <c r="H61" i="27"/>
  <c r="H64" i="27" s="1"/>
  <c r="H62" i="27"/>
  <c r="H66" i="1" s="1"/>
  <c r="H47" i="29"/>
  <c r="H59" i="27"/>
  <c r="D39" i="17"/>
  <c r="D55" i="27"/>
  <c r="I55" i="27"/>
  <c r="I57" i="27"/>
  <c r="I39" i="17"/>
  <c r="M55" i="17"/>
  <c r="D56" i="17"/>
  <c r="D98" i="17" s="1"/>
  <c r="L55" i="17"/>
  <c r="J47" i="29"/>
  <c r="J62" i="27"/>
  <c r="J66" i="1" s="1"/>
  <c r="J61" i="27"/>
  <c r="J64" i="27" s="1"/>
  <c r="J59" i="27"/>
  <c r="G39" i="17"/>
  <c r="G55" i="27"/>
  <c r="G57" i="27"/>
  <c r="F65" i="17" l="1"/>
  <c r="F59" i="27"/>
  <c r="F47" i="29"/>
  <c r="F61" i="27"/>
  <c r="F64" i="27" s="1"/>
  <c r="F66" i="27" s="1"/>
  <c r="H65" i="17"/>
  <c r="E65" i="17"/>
  <c r="E43" i="17"/>
  <c r="E86" i="17" s="1"/>
  <c r="E61" i="27"/>
  <c r="E64" i="27" s="1"/>
  <c r="E62" i="27"/>
  <c r="E66" i="1" s="1"/>
  <c r="E47" i="29"/>
  <c r="E59" i="27"/>
  <c r="D65" i="17"/>
  <c r="D43" i="17"/>
  <c r="J33" i="1"/>
  <c r="J36" i="1"/>
  <c r="J32" i="1"/>
  <c r="J31" i="1"/>
  <c r="J29" i="1"/>
  <c r="J35" i="1"/>
  <c r="J37" i="1"/>
  <c r="J30" i="1"/>
  <c r="J38" i="1"/>
  <c r="J34" i="1"/>
  <c r="I65" i="17"/>
  <c r="I43" i="17"/>
  <c r="I86" i="17" s="1"/>
  <c r="H37" i="1"/>
  <c r="H34" i="1"/>
  <c r="H31" i="1"/>
  <c r="H30" i="1"/>
  <c r="H38" i="1"/>
  <c r="H36" i="1"/>
  <c r="H33" i="1"/>
  <c r="H32" i="1"/>
  <c r="H35" i="1"/>
  <c r="H29" i="1"/>
  <c r="F31" i="1"/>
  <c r="F34" i="1"/>
  <c r="F37" i="1"/>
  <c r="F35" i="1"/>
  <c r="F29" i="1"/>
  <c r="F36" i="1"/>
  <c r="F32" i="1"/>
  <c r="F38" i="1"/>
  <c r="F33" i="1"/>
  <c r="F30" i="1"/>
  <c r="G65" i="17"/>
  <c r="G43" i="17"/>
  <c r="G86" i="17" s="1"/>
  <c r="D61" i="27"/>
  <c r="D64" i="27" s="1"/>
  <c r="D62" i="27"/>
  <c r="D66" i="1" s="1"/>
  <c r="D47" i="29"/>
  <c r="D59" i="27"/>
  <c r="J63" i="17"/>
  <c r="J66" i="27"/>
  <c r="L56" i="17"/>
  <c r="M56" i="17"/>
  <c r="I61" i="27"/>
  <c r="I64" i="27" s="1"/>
  <c r="I47" i="29"/>
  <c r="I62" i="27"/>
  <c r="I66" i="1" s="1"/>
  <c r="I59" i="27"/>
  <c r="H63" i="17"/>
  <c r="H108" i="17" s="1"/>
  <c r="H109" i="17" s="1"/>
  <c r="H110" i="17" s="1"/>
  <c r="H100" i="17" s="1"/>
  <c r="H102" i="17" s="1"/>
  <c r="H66" i="27"/>
  <c r="G62" i="27"/>
  <c r="G66" i="1" s="1"/>
  <c r="G47" i="29"/>
  <c r="G61" i="27"/>
  <c r="G64" i="27" s="1"/>
  <c r="G59" i="27"/>
  <c r="F63" i="17" l="1"/>
  <c r="F108" i="17" s="1"/>
  <c r="F109" i="17" s="1"/>
  <c r="F110" i="17" s="1"/>
  <c r="F100" i="17" s="1"/>
  <c r="F102" i="17" s="1"/>
  <c r="H66" i="17"/>
  <c r="H67" i="17" s="1"/>
  <c r="H70" i="17"/>
  <c r="J70" i="17"/>
  <c r="J39" i="1"/>
  <c r="E32" i="1"/>
  <c r="E31" i="1"/>
  <c r="E30" i="1"/>
  <c r="E38" i="1"/>
  <c r="E35" i="1"/>
  <c r="E34" i="1"/>
  <c r="E37" i="1"/>
  <c r="E36" i="1"/>
  <c r="E33" i="1"/>
  <c r="E29" i="1"/>
  <c r="I32" i="1"/>
  <c r="I33" i="1"/>
  <c r="I35" i="1"/>
  <c r="I34" i="1"/>
  <c r="I31" i="1"/>
  <c r="I30" i="1"/>
  <c r="I29" i="1"/>
  <c r="I36" i="1"/>
  <c r="I38" i="1"/>
  <c r="I37" i="1"/>
  <c r="E63" i="17"/>
  <c r="E108" i="17" s="1"/>
  <c r="E109" i="17" s="1"/>
  <c r="E110" i="17" s="1"/>
  <c r="E100" i="17" s="1"/>
  <c r="E102" i="17" s="1"/>
  <c r="E66" i="27"/>
  <c r="G63" i="17"/>
  <c r="G108" i="17" s="1"/>
  <c r="G109" i="17" s="1"/>
  <c r="G110" i="17" s="1"/>
  <c r="G100" i="17" s="1"/>
  <c r="G102" i="17" s="1"/>
  <c r="G66" i="27"/>
  <c r="I63" i="17"/>
  <c r="I66" i="17" s="1"/>
  <c r="I67" i="17" s="1"/>
  <c r="I66" i="27"/>
  <c r="D36" i="1"/>
  <c r="D37" i="1"/>
  <c r="D32" i="1"/>
  <c r="D34" i="1"/>
  <c r="D29" i="1"/>
  <c r="D31" i="1"/>
  <c r="D35" i="1"/>
  <c r="D30" i="1"/>
  <c r="D33" i="1"/>
  <c r="D38" i="1"/>
  <c r="M32" i="1"/>
  <c r="M36" i="1"/>
  <c r="M37" i="1"/>
  <c r="M38" i="1"/>
  <c r="M33" i="1"/>
  <c r="M31" i="1"/>
  <c r="M30" i="1"/>
  <c r="M35" i="1"/>
  <c r="M29" i="1"/>
  <c r="M34" i="1"/>
  <c r="H39" i="1"/>
  <c r="D63" i="17"/>
  <c r="D108" i="17" s="1"/>
  <c r="D109" i="17" s="1"/>
  <c r="D110" i="17" s="1"/>
  <c r="D100" i="17" s="1"/>
  <c r="D102" i="17" s="1"/>
  <c r="D66" i="27"/>
  <c r="G32" i="1"/>
  <c r="G31" i="1"/>
  <c r="G34" i="1"/>
  <c r="G29" i="1"/>
  <c r="G38" i="1"/>
  <c r="G30" i="1"/>
  <c r="G36" i="1"/>
  <c r="G37" i="1"/>
  <c r="G33" i="1"/>
  <c r="G35" i="1"/>
  <c r="F39" i="1"/>
  <c r="D86" i="17"/>
  <c r="F70" i="17" l="1"/>
  <c r="F66" i="17"/>
  <c r="F67" i="17" s="1"/>
  <c r="H69" i="17"/>
  <c r="H88" i="17" s="1"/>
  <c r="F86" i="29"/>
  <c r="I69" i="17"/>
  <c r="I70" i="17"/>
  <c r="I108" i="17"/>
  <c r="I109" i="17" s="1"/>
  <c r="I110" i="17" s="1"/>
  <c r="I100" i="17" s="1"/>
  <c r="M39" i="1"/>
  <c r="D39" i="1"/>
  <c r="G66" i="17"/>
  <c r="G67" i="17" s="1"/>
  <c r="G70" i="17"/>
  <c r="E66" i="17"/>
  <c r="E67" i="17" s="1"/>
  <c r="E70" i="17"/>
  <c r="D66" i="17"/>
  <c r="D67" i="17" s="1"/>
  <c r="D70" i="17"/>
  <c r="G39" i="1"/>
  <c r="I39" i="1"/>
  <c r="E39" i="1"/>
  <c r="I88" i="17" l="1"/>
  <c r="I90" i="17" s="1"/>
  <c r="E69" i="17"/>
  <c r="E88" i="17" s="1"/>
  <c r="G86" i="29"/>
  <c r="H86" i="29"/>
  <c r="F69" i="17"/>
  <c r="F88" i="17" s="1"/>
  <c r="F90" i="17" s="1"/>
  <c r="G69" i="17"/>
  <c r="G88" i="17" s="1"/>
  <c r="G90" i="17" s="1"/>
  <c r="D86" i="29"/>
  <c r="D69" i="17"/>
  <c r="D88" i="17" s="1"/>
  <c r="E86" i="29"/>
  <c r="I86" i="29"/>
  <c r="L70" i="17"/>
  <c r="I102" i="17"/>
  <c r="H90" i="17"/>
  <c r="D90" i="17" l="1"/>
  <c r="E90" i="17"/>
  <c r="K44" i="27"/>
  <c r="K48" i="27" s="1"/>
  <c r="K54" i="27" l="1"/>
  <c r="I88" i="29"/>
  <c r="I50" i="29"/>
  <c r="H88" i="29"/>
  <c r="H50" i="29"/>
  <c r="J28" i="17"/>
  <c r="J30" i="17" s="1"/>
  <c r="J39" i="17" s="1"/>
  <c r="K28" i="17"/>
  <c r="K30" i="17" s="1"/>
  <c r="K55" i="27"/>
  <c r="K57" i="27"/>
  <c r="J98" i="17" l="1"/>
  <c r="L98" i="17" s="1"/>
  <c r="J107" i="17"/>
  <c r="J108" i="17" s="1"/>
  <c r="J109" i="17" s="1"/>
  <c r="J110" i="17" s="1"/>
  <c r="J100" i="17" s="1"/>
  <c r="H59" i="1"/>
  <c r="H89" i="29"/>
  <c r="H60" i="1" s="1"/>
  <c r="F88" i="29"/>
  <c r="F50" i="29"/>
  <c r="D88" i="29"/>
  <c r="D50" i="29"/>
  <c r="I59" i="1"/>
  <c r="I89" i="29"/>
  <c r="I60" i="1" s="1"/>
  <c r="E88" i="29"/>
  <c r="E50" i="29"/>
  <c r="G88" i="29"/>
  <c r="G50" i="29"/>
  <c r="K107" i="17"/>
  <c r="K98" i="17"/>
  <c r="J65" i="17"/>
  <c r="J43" i="17"/>
  <c r="K39" i="17"/>
  <c r="K65" i="17" s="1"/>
  <c r="K62" i="27"/>
  <c r="K66" i="1" s="1"/>
  <c r="K61" i="27"/>
  <c r="K64" i="27" s="1"/>
  <c r="K47" i="29"/>
  <c r="K59" i="27"/>
  <c r="I33" i="17"/>
  <c r="J102" i="17" l="1"/>
  <c r="L102" i="17" s="1"/>
  <c r="L100" i="17"/>
  <c r="M98" i="17"/>
  <c r="E89" i="29"/>
  <c r="E60" i="1" s="1"/>
  <c r="E59" i="1"/>
  <c r="I21" i="1"/>
  <c r="I40" i="1"/>
  <c r="J66" i="17"/>
  <c r="J67" i="17" s="1"/>
  <c r="D89" i="29"/>
  <c r="D60" i="1" s="1"/>
  <c r="D59" i="1"/>
  <c r="G59" i="1"/>
  <c r="G89" i="29"/>
  <c r="G60" i="1" s="1"/>
  <c r="F59" i="1"/>
  <c r="F89" i="29"/>
  <c r="F60" i="1" s="1"/>
  <c r="H21" i="1"/>
  <c r="H40" i="1"/>
  <c r="K43" i="17"/>
  <c r="K86" i="17" s="1"/>
  <c r="L43" i="17"/>
  <c r="J86" i="17"/>
  <c r="J33" i="17"/>
  <c r="K63" i="17"/>
  <c r="K108" i="17" s="1"/>
  <c r="K109" i="17" s="1"/>
  <c r="K110" i="17" s="1"/>
  <c r="K100" i="17" s="1"/>
  <c r="K66" i="27"/>
  <c r="N30" i="1"/>
  <c r="K36" i="1"/>
  <c r="K35" i="1"/>
  <c r="K33" i="1"/>
  <c r="K31" i="1"/>
  <c r="K32" i="1"/>
  <c r="K34" i="1"/>
  <c r="K30" i="1"/>
  <c r="K29" i="1"/>
  <c r="K38" i="1"/>
  <c r="K37" i="1"/>
  <c r="N32" i="1"/>
  <c r="N33" i="1"/>
  <c r="N34" i="1"/>
  <c r="N35" i="1"/>
  <c r="N36" i="1"/>
  <c r="N29" i="1"/>
  <c r="N38" i="1"/>
  <c r="N37" i="1"/>
  <c r="N31" i="1"/>
  <c r="M43" i="17" l="1"/>
  <c r="D21" i="1"/>
  <c r="D40" i="1"/>
  <c r="J69" i="17"/>
  <c r="G21" i="1"/>
  <c r="G40" i="1"/>
  <c r="F21" i="1"/>
  <c r="F40" i="1"/>
  <c r="E21" i="1"/>
  <c r="E40" i="1"/>
  <c r="K102" i="17"/>
  <c r="M102" i="17" s="1"/>
  <c r="M100" i="17"/>
  <c r="L86" i="17"/>
  <c r="K39" i="1"/>
  <c r="N39" i="1"/>
  <c r="K66" i="17"/>
  <c r="K67" i="17" s="1"/>
  <c r="K70" i="17"/>
  <c r="M70" i="17" s="1"/>
  <c r="M86" i="17"/>
  <c r="K69" i="17" l="1"/>
  <c r="M69" i="17" s="1"/>
  <c r="K86" i="29"/>
  <c r="J88" i="29"/>
  <c r="L69" i="17"/>
  <c r="J88" i="17"/>
  <c r="K88" i="17" l="1"/>
  <c r="M88" i="17" s="1"/>
  <c r="J59" i="1"/>
  <c r="J90" i="17"/>
  <c r="L88" i="17"/>
  <c r="J50" i="29"/>
  <c r="J86" i="29"/>
  <c r="J89" i="29" s="1"/>
  <c r="K90" i="17" l="1"/>
  <c r="M90" i="17" s="1"/>
  <c r="L90" i="17"/>
  <c r="J60" i="1"/>
  <c r="J21" i="1"/>
  <c r="M59" i="1"/>
  <c r="M21" i="1"/>
  <c r="M40" i="1"/>
  <c r="M60" i="1" l="1"/>
  <c r="J40" i="1"/>
  <c r="K88" i="29"/>
  <c r="K50" i="29"/>
  <c r="K89" i="29" l="1"/>
  <c r="K60" i="1" s="1"/>
  <c r="N60" i="1" s="1"/>
  <c r="K59" i="1"/>
  <c r="K33" i="17"/>
  <c r="N59" i="1" l="1"/>
  <c r="K21" i="1"/>
  <c r="N21" i="1"/>
  <c r="K40" i="1"/>
  <c r="N40" i="1"/>
  <c r="D68" i="29" l="1"/>
  <c r="D70" i="29" s="1"/>
  <c r="D74" i="29" l="1"/>
  <c r="D34" i="29" l="1"/>
  <c r="D37" i="29" s="1"/>
  <c r="D49" i="29" l="1"/>
  <c r="D51" i="29" s="1"/>
  <c r="D53" i="29" s="1"/>
  <c r="D81" i="29" s="1"/>
  <c r="D61" i="1" s="1"/>
  <c r="D41" i="29"/>
  <c r="D79" i="29" s="1"/>
  <c r="D83" i="29" l="1"/>
  <c r="D62" i="1" s="1"/>
  <c r="D41" i="1" s="1"/>
  <c r="D42" i="1" s="1"/>
  <c r="D22" i="1"/>
  <c r="D23" i="1" s="1"/>
  <c r="D63" i="1" l="1"/>
  <c r="E68" i="29"/>
  <c r="E70" i="29" s="1"/>
  <c r="E74" i="29" l="1"/>
  <c r="E34" i="29" l="1"/>
  <c r="E37" i="29" s="1"/>
  <c r="E49" i="29" l="1"/>
  <c r="E51" i="29" s="1"/>
  <c r="E53" i="29" s="1"/>
  <c r="E81" i="29" s="1"/>
  <c r="E61" i="1" s="1"/>
  <c r="E41" i="29"/>
  <c r="E79" i="29" s="1"/>
  <c r="E83" i="29" l="1"/>
  <c r="E62" i="1" s="1"/>
  <c r="E22" i="1"/>
  <c r="E23" i="1" s="1"/>
  <c r="E41" i="1" l="1"/>
  <c r="E42" i="1" s="1"/>
  <c r="E63" i="1"/>
  <c r="F68" i="29" l="1"/>
  <c r="F70" i="29" s="1"/>
  <c r="F74" i="29" l="1"/>
  <c r="F34" i="29" l="1"/>
  <c r="F37" i="29" s="1"/>
  <c r="F49" i="29" l="1"/>
  <c r="F51" i="29" s="1"/>
  <c r="F53" i="29" s="1"/>
  <c r="F81" i="29" s="1"/>
  <c r="F61" i="1" s="1"/>
  <c r="F41" i="29"/>
  <c r="F79" i="29" s="1"/>
  <c r="F22" i="1" l="1"/>
  <c r="F23" i="1" s="1"/>
  <c r="F83" i="29"/>
  <c r="F62" i="1" s="1"/>
  <c r="F41" i="1" l="1"/>
  <c r="F42" i="1" s="1"/>
  <c r="F63" i="1"/>
  <c r="G68" i="29" l="1"/>
  <c r="G70" i="29" s="1"/>
  <c r="G74" i="29" l="1"/>
  <c r="G34" i="29" l="1"/>
  <c r="G37" i="29" s="1"/>
  <c r="G49" i="29" l="1"/>
  <c r="G51" i="29" s="1"/>
  <c r="G53" i="29" s="1"/>
  <c r="G81" i="29" s="1"/>
  <c r="G61" i="1" s="1"/>
  <c r="G41" i="29"/>
  <c r="G79" i="29" s="1"/>
  <c r="G83" i="29" l="1"/>
  <c r="G62" i="1" s="1"/>
  <c r="G41" i="1" s="1"/>
  <c r="G42" i="1" s="1"/>
  <c r="G22" i="1"/>
  <c r="G23" i="1" s="1"/>
  <c r="G63" i="1" l="1"/>
  <c r="H68" i="29"/>
  <c r="H70" i="29" s="1"/>
  <c r="H74" i="29" l="1"/>
  <c r="H34" i="29" l="1"/>
  <c r="H37" i="29" s="1"/>
  <c r="H49" i="29" l="1"/>
  <c r="H51" i="29" s="1"/>
  <c r="H53" i="29" s="1"/>
  <c r="H81" i="29" s="1"/>
  <c r="H61" i="1" s="1"/>
  <c r="H41" i="29"/>
  <c r="H79" i="29" s="1"/>
  <c r="H83" i="29" l="1"/>
  <c r="H62" i="1" s="1"/>
  <c r="H63" i="1" s="1"/>
  <c r="H22" i="1"/>
  <c r="H23" i="1" s="1"/>
  <c r="H41" i="1" l="1"/>
  <c r="H42" i="1" s="1"/>
  <c r="I68" i="29"/>
  <c r="I70" i="29" s="1"/>
  <c r="I74" i="29" l="1"/>
  <c r="I37" i="29" l="1"/>
  <c r="I49" i="29" l="1"/>
  <c r="I51" i="29" s="1"/>
  <c r="I53" i="29" s="1"/>
  <c r="I81" i="29" s="1"/>
  <c r="I61" i="1" s="1"/>
  <c r="I41" i="29"/>
  <c r="I79" i="29" s="1"/>
  <c r="I22" i="1" l="1"/>
  <c r="I23" i="1" s="1"/>
  <c r="I83" i="29"/>
  <c r="I62" i="1" s="1"/>
  <c r="I41" i="1" l="1"/>
  <c r="I42" i="1" s="1"/>
  <c r="I63" i="1"/>
  <c r="J68" i="29" l="1"/>
  <c r="J70" i="29" s="1"/>
  <c r="J74" i="29" l="1"/>
  <c r="J37" i="29" l="1"/>
  <c r="J41" i="29" l="1"/>
  <c r="J79" i="29" s="1"/>
  <c r="J49" i="29"/>
  <c r="J51" i="29" s="1"/>
  <c r="J53" i="29" s="1"/>
  <c r="J81" i="29" s="1"/>
  <c r="J61" i="1" s="1"/>
  <c r="J83" i="29" l="1"/>
  <c r="J62" i="1" s="1"/>
  <c r="M41" i="1" s="1"/>
  <c r="M42" i="1" s="1"/>
  <c r="J22" i="1"/>
  <c r="J23" i="1" s="1"/>
  <c r="M61" i="1"/>
  <c r="M22" i="1"/>
  <c r="M23" i="1" s="1"/>
  <c r="J41" i="1" l="1"/>
  <c r="J42" i="1" s="1"/>
  <c r="J63" i="1"/>
  <c r="M62" i="1"/>
  <c r="M63" i="1" s="1"/>
  <c r="K68" i="29" l="1"/>
  <c r="K70" i="29" s="1"/>
  <c r="K74" i="29" l="1"/>
  <c r="K37" i="29" l="1"/>
  <c r="K41" i="29" l="1"/>
  <c r="K79" i="29" s="1"/>
  <c r="K49" i="29"/>
  <c r="K51" i="29" s="1"/>
  <c r="K53" i="29" s="1"/>
  <c r="K81" i="29" s="1"/>
  <c r="K61" i="1" s="1"/>
  <c r="K22" i="1" l="1"/>
  <c r="K23" i="1" s="1"/>
  <c r="N61" i="1"/>
  <c r="N22" i="1"/>
  <c r="K83" i="29"/>
  <c r="K62" i="1" s="1"/>
  <c r="K63" i="1" s="1"/>
  <c r="N23" i="1" l="1"/>
  <c r="K41" i="1"/>
  <c r="K42" i="1" s="1"/>
  <c r="N62" i="1"/>
  <c r="N63" i="1" s="1"/>
  <c r="N41" i="1"/>
  <c r="N42" i="1" l="1"/>
</calcChain>
</file>

<file path=xl/sharedStrings.xml><?xml version="1.0" encoding="utf-8"?>
<sst xmlns="http://schemas.openxmlformats.org/spreadsheetml/2006/main" count="1440" uniqueCount="637">
  <si>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</si>
  <si>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</si>
  <si>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</si>
  <si>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</si>
  <si>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</si>
  <si>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</si>
  <si>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</si>
  <si>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</si>
  <si>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</si>
  <si>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</si>
  <si>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</si>
  <si>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</si>
  <si>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</si>
  <si>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</si>
  <si>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</si>
  <si>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</si>
  <si>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</si>
  <si>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</si>
  <si>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</si>
  <si>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</si>
  <si>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</si>
  <si>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</si>
  <si>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</si>
  <si>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</si>
  <si>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</si>
  <si>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</si>
  <si>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</si>
  <si>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</si>
  <si>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</si>
  <si>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</si>
  <si>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</si>
  <si>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</si>
  <si>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</si>
  <si>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</si>
  <si>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</si>
  <si>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</si>
  <si>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</si>
  <si>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</si>
  <si>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</si>
  <si>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</si>
  <si>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</si>
  <si>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</si>
  <si>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</si>
  <si>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</si>
  <si>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</si>
  <si>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</si>
  <si>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</si>
  <si>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</si>
  <si>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</si>
  <si>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</si>
  <si>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</si>
  <si>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</si>
  <si>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</si>
  <si>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</si>
  <si>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</si>
  <si>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</si>
  <si>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</si>
  <si>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</si>
  <si>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</si>
  <si>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</si>
  <si>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</si>
  <si>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</si>
  <si>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</si>
  <si>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</si>
  <si>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</si>
  <si>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</si>
  <si>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</si>
  <si>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</si>
  <si>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</si>
  <si>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</si>
  <si>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</si>
  <si>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</si>
  <si>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</si>
  <si>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</si>
  <si>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</si>
  <si>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</si>
  <si>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</si>
  <si>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</si>
  <si>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</si>
  <si>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</si>
  <si>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</si>
  <si>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</si>
  <si>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</si>
  <si>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</si>
  <si>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</si>
  <si>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</si>
  <si>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</si>
  <si>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</si>
  <si>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</si>
  <si>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</si>
  <si>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</si>
  <si>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</si>
  <si>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</si>
  <si>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</si>
  <si>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</si>
  <si>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</si>
  <si>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</si>
  <si>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</si>
  <si>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</si>
  <si>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</si>
  <si>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</si>
  <si>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</si>
  <si>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</si>
  <si>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</si>
  <si>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</si>
  <si>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</si>
  <si>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</si>
  <si>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</si>
  <si>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</si>
  <si>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</si>
  <si>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</si>
  <si>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</si>
  <si>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</si>
  <si>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</si>
  <si>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</si>
  <si>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</si>
  <si>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</si>
  <si>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</si>
  <si>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</si>
  <si>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</si>
  <si>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</si>
  <si>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</si>
  <si>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</si>
  <si>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</si>
  <si>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</si>
  <si>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</si>
  <si>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</si>
  <si>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</si>
  <si>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</si>
  <si>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</si>
  <si>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</si>
  <si>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</si>
  <si>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</si>
  <si>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</si>
  <si>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</si>
  <si>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</si>
  <si>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</si>
  <si>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</si>
  <si>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</si>
  <si>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</si>
  <si>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</si>
  <si>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</si>
  <si>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</si>
  <si>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</si>
  <si>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</si>
  <si>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</si>
  <si>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</si>
  <si>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</si>
  <si>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</si>
  <si>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</si>
  <si>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</si>
  <si>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</si>
  <si>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</si>
  <si>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</si>
  <si>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</si>
  <si>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</si>
  <si>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</si>
  <si>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</si>
  <si>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</si>
  <si>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</si>
  <si>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</si>
  <si>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</si>
  <si>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d</t>
  </si>
  <si>
    <t>e</t>
  </si>
  <si>
    <t>f</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</si>
  <si>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</si>
  <si>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</si>
  <si>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</si>
  <si>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</si>
  <si>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</si>
  <si>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</si>
  <si>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</si>
  <si>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</si>
  <si>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</si>
  <si>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</si>
  <si>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</si>
  <si>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</si>
  <si>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</si>
  <si>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</si>
  <si>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</si>
  <si>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</si>
  <si>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</si>
  <si>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</si>
  <si>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</si>
  <si>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</si>
  <si>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</si>
  <si>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</si>
  <si>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</si>
  <si>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</si>
  <si>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</si>
  <si>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</si>
  <si>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</si>
  <si>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</si>
  <si>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</si>
  <si>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</si>
  <si>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</si>
  <si>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</si>
  <si>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</si>
  <si>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</si>
  <si>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</si>
  <si>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</si>
  <si>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</si>
  <si>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</si>
  <si>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</si>
  <si>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</si>
  <si>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</si>
  <si>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</si>
  <si>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</si>
  <si>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</si>
  <si>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</si>
  <si>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</si>
  <si>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</si>
  <si>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</si>
  <si>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</si>
  <si>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</si>
  <si>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</si>
  <si>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</si>
  <si>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</si>
  <si>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</si>
  <si>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</si>
  <si>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</si>
  <si>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</si>
  <si>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</si>
  <si>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</si>
  <si>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</si>
  <si>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</si>
  <si>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</si>
  <si>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</si>
  <si>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</si>
  <si>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</si>
  <si>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</si>
  <si>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</si>
  <si>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</si>
  <si>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</si>
  <si>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</si>
  <si>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</si>
  <si>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</si>
  <si>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</si>
  <si>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</si>
  <si>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</si>
  <si>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</si>
  <si>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</si>
  <si>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</si>
  <si>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</si>
  <si>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</si>
  <si>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</si>
  <si>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</si>
  <si>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</si>
  <si>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</si>
  <si>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</si>
  <si>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</si>
  <si>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</si>
  <si>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</si>
  <si>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</si>
  <si>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</si>
  <si>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</si>
  <si>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</si>
  <si>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</si>
  <si>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</si>
  <si>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</si>
  <si>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</si>
  <si>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</si>
  <si>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</si>
  <si>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</si>
  <si>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</si>
  <si>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</si>
  <si>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</si>
  <si>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</si>
  <si>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</si>
  <si>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</si>
  <si>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</si>
  <si>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</si>
  <si>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</si>
  <si>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</si>
  <si>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</si>
  <si>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</si>
  <si>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</si>
  <si>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</si>
  <si>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</si>
  <si>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</si>
  <si>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</si>
  <si>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</si>
  <si>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</si>
  <si>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</si>
  <si>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</si>
  <si>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</si>
  <si>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</si>
  <si>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</si>
  <si>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</si>
  <si>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</si>
  <si>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</si>
  <si>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</si>
  <si>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</si>
  <si>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</si>
  <si>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</si>
  <si>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</si>
  <si>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</si>
  <si>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</si>
  <si>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</si>
  <si>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</si>
  <si>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</si>
  <si>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</si>
  <si>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</si>
  <si>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</si>
  <si>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</si>
  <si>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</si>
  <si>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</si>
  <si>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</si>
  <si>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</si>
  <si>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</si>
  <si>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</si>
  <si>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</si>
  <si>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</si>
  <si>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</si>
  <si>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</si>
  <si>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</si>
  <si>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</si>
  <si>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</si>
  <si>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</si>
  <si>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</si>
  <si>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</si>
  <si>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</si>
  <si>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</si>
  <si>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</si>
  <si>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</si>
  <si>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</si>
  <si>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</si>
  <si>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</si>
  <si>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</si>
  <si>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</si>
  <si>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</si>
  <si>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</si>
  <si>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</si>
  <si>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</si>
  <si>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</si>
  <si>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</si>
  <si>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</si>
  <si>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</si>
  <si>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</si>
  <si>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</si>
  <si>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</si>
  <si>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</si>
  <si>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</si>
  <si>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</si>
  <si>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</si>
  <si>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</si>
  <si>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</si>
  <si>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</si>
  <si>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</si>
  <si>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</si>
  <si>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</si>
  <si>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</si>
  <si>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</si>
  <si>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</si>
  <si>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</si>
  <si>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</si>
  <si>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</si>
  <si>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</si>
  <si>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</si>
  <si>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</si>
  <si>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</si>
  <si>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</si>
  <si>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</si>
  <si>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</si>
  <si>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</si>
  <si>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</si>
  <si>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</si>
  <si>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</si>
  <si>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</si>
  <si>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</si>
  <si>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</si>
  <si>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</si>
  <si>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</si>
  <si>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</si>
  <si>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</si>
  <si>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</si>
  <si>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</si>
  <si>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</si>
  <si>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</si>
  <si>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</si>
  <si>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</si>
  <si>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</si>
  <si>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</si>
  <si>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</si>
  <si>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</si>
  <si>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</si>
  <si>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</si>
  <si>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</si>
  <si>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</si>
  <si>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</si>
  <si>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</si>
  <si>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</si>
  <si>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</si>
  <si>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</si>
  <si>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</si>
  <si>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</si>
  <si>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</si>
  <si>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</si>
  <si>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</si>
  <si>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</si>
  <si>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</si>
  <si>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</si>
  <si>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</si>
  <si>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</si>
  <si>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</si>
  <si>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</si>
  <si>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</si>
  <si>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</si>
  <si>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</si>
  <si>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</si>
  <si>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</si>
  <si>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</si>
  <si>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</si>
  <si>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</si>
  <si>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</si>
  <si>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</si>
  <si>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</si>
  <si>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</si>
  <si>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</si>
  <si>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</si>
  <si>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</si>
  <si>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</si>
  <si>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</si>
  <si>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</si>
  <si>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</si>
  <si>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</si>
  <si>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</si>
  <si>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</si>
  <si>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</si>
  <si>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</si>
  <si>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</si>
  <si>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</si>
  <si>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</si>
  <si>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</si>
  <si>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</si>
  <si>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</si>
  <si>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</si>
  <si>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</si>
  <si>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</si>
  <si>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</si>
  <si>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</si>
  <si>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</si>
  <si>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</si>
  <si>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</si>
  <si>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</si>
  <si>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</si>
  <si>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</si>
  <si>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</si>
  <si>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</si>
  <si>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</si>
  <si>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</si>
  <si>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</si>
  <si>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</si>
  <si>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</si>
  <si>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</si>
  <si>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</si>
  <si>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</si>
  <si>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</si>
  <si>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</si>
  <si>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</si>
  <si>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</si>
  <si>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</si>
  <si>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</si>
  <si>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</si>
  <si>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</si>
  <si>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</si>
  <si>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</si>
  <si>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</si>
  <si>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</si>
  <si>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</si>
  <si>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</si>
  <si>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</si>
  <si>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</si>
  <si>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</si>
  <si>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</si>
  <si>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</si>
  <si>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</si>
  <si>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</si>
  <si>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</si>
  <si>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</si>
  <si>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</si>
  <si>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</si>
  <si>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</si>
  <si>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</si>
  <si>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</si>
  <si>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</si>
  <si>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</si>
  <si>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</si>
  <si>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</si>
  <si>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</si>
  <si>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</si>
  <si>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</si>
  <si>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</si>
  <si>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</si>
  <si>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</si>
  <si>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</si>
  <si>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</si>
  <si>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</si>
  <si>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</si>
  <si>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</si>
  <si>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</si>
  <si>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</si>
  <si>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</si>
  <si>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</si>
  <si>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</si>
  <si>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</si>
  <si>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</si>
  <si>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</si>
  <si>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</si>
  <si>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</si>
  <si>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</si>
  <si>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</si>
  <si>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</si>
  <si>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</si>
  <si>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</si>
  <si>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</si>
  <si>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</si>
  <si>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</si>
  <si>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</si>
  <si>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</si>
  <si>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</si>
  <si>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</si>
  <si>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</si>
  <si>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</si>
  <si>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</si>
  <si>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</si>
  <si>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</si>
  <si>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</si>
  <si>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</si>
  <si>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</si>
  <si>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</si>
  <si>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</si>
  <si>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</si>
  <si>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</si>
  <si>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</si>
  <si>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</si>
  <si>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</si>
  <si>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</si>
  <si>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</si>
  <si>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</si>
  <si>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</si>
  <si>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</si>
  <si>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</si>
  <si>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</si>
  <si>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</si>
  <si>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</si>
  <si>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</si>
  <si>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</si>
  <si>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</si>
  <si>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</si>
  <si>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</si>
  <si>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</si>
  <si>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</si>
  <si>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</si>
  <si>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</si>
  <si>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</si>
  <si>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</si>
  <si>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</si>
  <si>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</si>
  <si>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</si>
  <si>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</si>
  <si>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</si>
  <si>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</si>
  <si>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</si>
  <si>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</si>
  <si>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</si>
  <si>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</si>
  <si>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</si>
  <si>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</si>
  <si>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</si>
  <si>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</si>
  <si>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</si>
  <si>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SP Cashflow View</t>
  </si>
  <si>
    <t>May 2022 Publication</t>
  </si>
  <si>
    <t>Capex Incurred</t>
  </si>
  <si>
    <t>Operational Costs Incurred</t>
  </si>
  <si>
    <t>Total Expenditure Incurred</t>
  </si>
  <si>
    <t>Reconciling Items to Total Net costs after non-price control allocations</t>
  </si>
  <si>
    <t>Total Reconciling Items</t>
  </si>
  <si>
    <t>Total Net costs after non-price control allocations</t>
  </si>
  <si>
    <t>Total Costs per latest RRP submission</t>
  </si>
  <si>
    <t>Reconciling Items to Totex</t>
  </si>
  <si>
    <t>Total reconciling items not recognised in totex</t>
  </si>
  <si>
    <t>PCFM Totex (excluding enduring value)</t>
  </si>
  <si>
    <t>RRP reported totex</t>
  </si>
  <si>
    <t>[Input other adjustment]</t>
  </si>
  <si>
    <t>[Insert adjustment as necessary]</t>
  </si>
  <si>
    <t>Adjustment to taxable profit from 31 December year end to 31 March year end</t>
  </si>
  <si>
    <t>Corporation tax rate change adjustment</t>
  </si>
  <si>
    <t>Tax paid on items with no allowance</t>
  </si>
  <si>
    <t>[Insert new rows here as necessary]</t>
  </si>
  <si>
    <t>[Insert detail of fine or penalty]</t>
  </si>
  <si>
    <t>18/19</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</si>
  <si>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</si>
  <si>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</si>
  <si>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</si>
  <si>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</si>
  <si>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</si>
  <si>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</si>
  <si>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</si>
  <si>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</si>
  <si>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</si>
  <si>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2021/22 does not inlclude Stakeholder Engagement Reward. This has not been determined by Ofgem.</t>
  </si>
  <si>
    <t>Penalty only mechanism. No penalties incurred to date.</t>
  </si>
  <si>
    <t>The losses discretionary reward scheme is only applicable in 2016/17, 2018/19 and 2020/21.</t>
  </si>
  <si>
    <t>Total property, plant and equipment in use</t>
  </si>
  <si>
    <t>Right of use Assets (Under IFRS 16)</t>
  </si>
  <si>
    <t>LCNF Payments Cost &amp; Payments</t>
  </si>
  <si>
    <t>SPPS Depreciation of Non-System assets</t>
  </si>
  <si>
    <t>Other Operating Income in Reg Accounts</t>
  </si>
  <si>
    <t>Connections &amp; NTR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</si>
  <si>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</si>
  <si>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</si>
  <si>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</si>
  <si>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</si>
  <si>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</si>
  <si>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</si>
  <si>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</si>
  <si>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Pass through</t>
  </si>
  <si>
    <t>Other Non Activity Based Costs</t>
  </si>
  <si>
    <t>Total Costs outside Price Control</t>
  </si>
  <si>
    <t>Related Party Margin</t>
  </si>
  <si>
    <t>NIA &amp; IFI/LCNF</t>
  </si>
  <si>
    <t>Cash proceeds from sales of assets and scrap</t>
  </si>
  <si>
    <t>Value added services (DRS 8)</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</si>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</sst>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lightUp">
        <bgColor rgb="FFFFFFCC"/>
      </patternFill>
    </fill>
    <fill>
      <patternFill patternType="lightUp">
        <bgColor rgb="FFCCFFCC"/>
      </patternFill>
    </fill>
    <fill>
      <patternFill patternType="lightUp">
        <bgColor rgb="FFCCFFFF"/>
      </patternFill>
    </fill>
  </fills>
  <borders count="14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right style="thin">
        <color auto="1"/>
      </right>
      <top style="thin">
        <color auto="1"/>
      </top>
      <bottom style="thin">
        <color auto="1"/>
      </bottom>
      <diagonal/>
    </border>
    <border>
      <left style="thin">
        <color theme="0" tint="-0.499984740745262"/>
      </left>
      <right style="thin">
        <color theme="1"/>
      </right>
      <top style="thin">
        <color indexed="64"/>
      </top>
      <bottom style="thin">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23" applyNumberFormat="0" applyAlignment="0" applyProtection="0"/>
    <xf numFmtId="353" fontId="248" fillId="128" borderId="123" applyNumberFormat="0" applyAlignment="0" applyProtection="0"/>
    <xf numFmtId="353" fontId="85" fillId="125" borderId="19" applyNumberFormat="0" applyAlignment="0" applyProtection="0"/>
    <xf numFmtId="353" fontId="85" fillId="125"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24" applyNumberFormat="0" applyFill="0" applyAlignment="0" applyProtection="0"/>
    <xf numFmtId="353" fontId="120" fillId="0" borderId="124" applyNumberFormat="0" applyFill="0" applyAlignment="0" applyProtection="0"/>
    <xf numFmtId="353" fontId="123" fillId="0" borderId="125" applyNumberFormat="0" applyFill="0" applyAlignment="0" applyProtection="0"/>
    <xf numFmtId="353" fontId="123" fillId="0" borderId="125"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23" applyNumberFormat="0" applyAlignment="0" applyProtection="0"/>
    <xf numFmtId="353" fontId="137" fillId="14" borderId="123" applyNumberFormat="0" applyAlignment="0" applyProtection="0"/>
    <xf numFmtId="353" fontId="140" fillId="34" borderId="0"/>
    <xf numFmtId="353" fontId="113" fillId="0" borderId="126" applyNumberFormat="0" applyFill="0" applyAlignment="0" applyProtection="0"/>
    <xf numFmtId="353" fontId="113" fillId="0" borderId="126"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53" fontId="48" fillId="109" borderId="30"/>
    <xf numFmtId="4" fontId="254" fillId="33" borderId="123"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31"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32" applyNumberFormat="0" applyFill="0" applyAlignment="0" applyProtection="0"/>
    <xf numFmtId="353" fontId="10" fillId="0" borderId="132"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210" fontId="59" fillId="0" borderId="32" applyFill="0"/>
    <xf numFmtId="353" fontId="23"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3" fillId="0" borderId="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3" applyNumberFormat="0" applyProtection="0">
      <alignment horizontal="left" vertical="center" indent="1"/>
    </xf>
    <xf numFmtId="210" fontId="59" fillId="0" borderId="32" applyFill="0"/>
    <xf numFmtId="353" fontId="248" fillId="128" borderId="123" applyNumberFormat="0" applyAlignment="0" applyProtection="0"/>
    <xf numFmtId="353" fontId="248" fillId="128" borderId="123" applyNumberForma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164" fontId="2" fillId="0" borderId="0" applyFont="0" applyFill="0" applyBorder="0" applyAlignment="0" applyProtection="0"/>
    <xf numFmtId="353" fontId="48" fillId="30" borderId="128" applyNumberFormat="0" applyProtection="0">
      <alignment horizontal="left" vertical="top" indent="1"/>
    </xf>
    <xf numFmtId="164" fontId="1" fillId="0" borderId="0" applyFont="0" applyFill="0" applyBorder="0" applyAlignment="0" applyProtection="0"/>
    <xf numFmtId="353" fontId="88" fillId="31" borderId="130" applyBorder="0"/>
    <xf numFmtId="4" fontId="48" fillId="24" borderId="123" applyNumberFormat="0" applyProtection="0">
      <alignment horizontal="right" vertical="center"/>
    </xf>
    <xf numFmtId="353"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3" fontId="48" fillId="61" borderId="123" applyNumberFormat="0" applyProtection="0">
      <alignment horizontal="left" vertical="center" indent="1"/>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34" borderId="128" applyNumberFormat="0" applyProtection="0">
      <alignment vertical="center"/>
    </xf>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210" fontId="59" fillId="0" borderId="32" applyFill="0"/>
    <xf numFmtId="353" fontId="48" fillId="83" borderId="123" applyNumberFormat="0" applyProtection="0">
      <alignment horizontal="left" vertical="center" indent="1"/>
    </xf>
    <xf numFmtId="4" fontId="48" fillId="23" borderId="123" applyNumberFormat="0" applyProtection="0">
      <alignment horizontal="right" vertical="center"/>
    </xf>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164" fontId="8" fillId="0" borderId="0" applyFont="0" applyFill="0" applyBorder="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3"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3" fontId="48" fillId="30" borderId="128" applyNumberFormat="0" applyProtection="0">
      <alignment horizontal="left" vertical="top" indent="1"/>
    </xf>
    <xf numFmtId="353" fontId="252"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7" borderId="123" applyNumberFormat="0" applyProtection="0">
      <alignment horizontal="right" vertical="center"/>
    </xf>
    <xf numFmtId="353" fontId="48" fillId="19" borderId="128" applyNumberFormat="0" applyProtection="0">
      <alignment horizontal="left" vertical="top" indent="1"/>
    </xf>
    <xf numFmtId="164" fontId="7" fillId="0" borderId="0" applyFont="0" applyFill="0" applyBorder="0" applyAlignment="0" applyProtection="0"/>
    <xf numFmtId="353" fontId="48" fillId="19"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48" fillId="32" borderId="128" applyNumberFormat="0" applyProtection="0">
      <alignment horizontal="left" vertical="top" indent="1"/>
    </xf>
    <xf numFmtId="353" fontId="10" fillId="0" borderId="132" applyNumberFormat="0" applyFill="0" applyAlignment="0" applyProtection="0"/>
    <xf numFmtId="353" fontId="10" fillId="0" borderId="132" applyNumberFormat="0" applyFill="0" applyAlignment="0" applyProtection="0"/>
    <xf numFmtId="4" fontId="48" fillId="28" borderId="123" applyNumberFormat="0" applyProtection="0">
      <alignment horizontal="right" vertical="center"/>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251" fillId="18" borderId="128" applyNumberFormat="0" applyProtection="0">
      <alignment horizontal="left" vertical="top" indent="1"/>
    </xf>
    <xf numFmtId="353"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4" fontId="48" fillId="25"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3" fontId="179" fillId="128" borderId="127" applyNumberFormat="0" applyAlignment="0" applyProtection="0"/>
    <xf numFmtId="353" fontId="48" fillId="61" borderId="123" applyNumberFormat="0" applyProtection="0">
      <alignment horizontal="left" vertical="center" indent="1"/>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3" fontId="137" fillId="14" borderId="123" applyNumberFormat="0" applyAlignment="0" applyProtection="0"/>
    <xf numFmtId="353" fontId="48" fillId="61"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3" fontId="48" fillId="32" borderId="123" applyNumberFormat="0" applyProtection="0">
      <alignment horizontal="left" vertical="center" indent="1"/>
    </xf>
    <xf numFmtId="353" fontId="48" fillId="13" borderId="123" applyNumberFormat="0" applyFont="0" applyAlignment="0" applyProtection="0"/>
    <xf numFmtId="353" fontId="88" fillId="31" borderId="130" applyBorder="0"/>
    <xf numFmtId="353" fontId="10" fillId="0" borderId="132" applyNumberFormat="0" applyFill="0" applyAlignment="0" applyProtection="0"/>
    <xf numFmtId="164" fontId="7" fillId="0" borderId="0" applyFont="0" applyFill="0" applyBorder="0" applyAlignment="0" applyProtection="0"/>
    <xf numFmtId="353" fontId="248" fillId="128" borderId="123" applyNumberFormat="0" applyAlignment="0" applyProtection="0"/>
    <xf numFmtId="4" fontId="48" fillId="24" borderId="123" applyNumberFormat="0" applyProtection="0">
      <alignment horizontal="right" vertical="center"/>
    </xf>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252" fillId="19"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4" fontId="250" fillId="45" borderId="123" applyNumberFormat="0" applyProtection="0">
      <alignment vertical="center"/>
    </xf>
    <xf numFmtId="353" fontId="48" fillId="83" borderId="123" applyNumberFormat="0" applyProtection="0">
      <alignment horizontal="left" vertical="center" indent="1"/>
    </xf>
    <xf numFmtId="37" fontId="59" fillId="0" borderId="131" applyNumberFormat="0"/>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3"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3" applyNumberFormat="0" applyProtection="0">
      <alignment horizontal="left" vertical="center"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3" fontId="4" fillId="19" borderId="128" applyNumberFormat="0" applyProtection="0">
      <alignment horizontal="left" vertical="top" indent="1"/>
    </xf>
    <xf numFmtId="353" fontId="137" fillId="14" borderId="123" applyNumberFormat="0" applyAlignment="0" applyProtection="0"/>
    <xf numFmtId="353" fontId="10" fillId="0" borderId="132" applyNumberFormat="0" applyFill="0" applyAlignment="0" applyProtection="0"/>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179" fillId="128" borderId="127" applyNumberFormat="0" applyAlignment="0" applyProtection="0"/>
    <xf numFmtId="4" fontId="252" fillId="34" borderId="128" applyNumberFormat="0" applyProtection="0">
      <alignment vertical="center"/>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353"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3" fontId="48" fillId="13" borderId="123" applyNumberFormat="0" applyFont="0" applyAlignment="0" applyProtection="0"/>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3" borderId="123" applyNumberFormat="0" applyFont="0" applyAlignment="0" applyProtection="0"/>
    <xf numFmtId="4" fontId="48" fillId="24" borderId="123" applyNumberFormat="0" applyProtection="0">
      <alignment horizontal="right" vertical="center"/>
    </xf>
    <xf numFmtId="353" fontId="48" fillId="32" borderId="128" applyNumberFormat="0" applyProtection="0">
      <alignment horizontal="left" vertical="top"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248" fillId="128" borderId="123" applyNumberFormat="0" applyAlignment="0" applyProtection="0"/>
    <xf numFmtId="4" fontId="252" fillId="61" borderId="128" applyNumberFormat="0" applyProtection="0">
      <alignment horizontal="left" vertical="center" indent="1"/>
    </xf>
    <xf numFmtId="353" fontId="10" fillId="0" borderId="132" applyNumberFormat="0" applyFill="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248" fillId="128" borderId="123" applyNumberFormat="0" applyAlignment="0" applyProtection="0"/>
    <xf numFmtId="4" fontId="254" fillId="33" borderId="123" applyNumberFormat="0" applyProtection="0">
      <alignment horizontal="right" vertical="center"/>
    </xf>
    <xf numFmtId="353" fontId="88" fillId="31" borderId="130" applyBorder="0"/>
    <xf numFmtId="353" fontId="48" fillId="13" borderId="123" applyNumberFormat="0" applyFont="0" applyAlignment="0" applyProtection="0"/>
    <xf numFmtId="4" fontId="48" fillId="64" borderId="123" applyNumberFormat="0" applyProtection="0">
      <alignment horizontal="left" vertical="center"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3" borderId="123" applyNumberFormat="0" applyFont="0" applyAlignment="0" applyProtection="0"/>
    <xf numFmtId="353" fontId="179" fillId="128" borderId="127" applyNumberFormat="0" applyAlignment="0" applyProtection="0"/>
    <xf numFmtId="4" fontId="48" fillId="20" borderId="123" applyNumberFormat="0" applyProtection="0">
      <alignment horizontal="right" vertical="center"/>
    </xf>
    <xf numFmtId="353" fontId="48" fillId="31" borderId="128" applyNumberFormat="0" applyProtection="0">
      <alignment horizontal="left" vertical="top" indent="1"/>
    </xf>
    <xf numFmtId="353" fontId="88" fillId="31" borderId="130" applyBorder="0"/>
    <xf numFmtId="4" fontId="48" fillId="28"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48" fillId="26" borderId="123" applyNumberFormat="0" applyProtection="0">
      <alignment horizontal="right" vertical="center"/>
    </xf>
    <xf numFmtId="353" fontId="48" fillId="32" borderId="128" applyNumberFormat="0" applyProtection="0">
      <alignment horizontal="left" vertical="top" indent="1"/>
    </xf>
    <xf numFmtId="353" fontId="4" fillId="32" borderId="128" applyNumberFormat="0" applyProtection="0">
      <alignment horizontal="left" vertical="center" indent="1"/>
    </xf>
    <xf numFmtId="4" fontId="48" fillId="0" borderId="123" applyNumberFormat="0" applyProtection="0">
      <alignment horizontal="right" vertical="center"/>
    </xf>
    <xf numFmtId="353" fontId="48" fillId="19" borderId="128" applyNumberFormat="0" applyProtection="0">
      <alignment horizontal="left" vertical="top" indent="1"/>
    </xf>
    <xf numFmtId="353" fontId="248" fillId="128" borderId="123" applyNumberFormat="0" applyAlignment="0" applyProtection="0"/>
    <xf numFmtId="353"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4" fillId="33"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353" fontId="248" fillId="128" borderId="123" applyNumberFormat="0" applyAlignment="0" applyProtection="0"/>
    <xf numFmtId="353" fontId="252" fillId="34" borderId="128" applyNumberFormat="0" applyProtection="0">
      <alignment horizontal="left" vertical="top" indent="1"/>
    </xf>
    <xf numFmtId="353" fontId="4" fillId="30" borderId="128" applyNumberFormat="0" applyProtection="0">
      <alignment horizontal="left" vertical="center" indent="1"/>
    </xf>
    <xf numFmtId="4" fontId="254" fillId="33" borderId="123" applyNumberFormat="0" applyProtection="0">
      <alignment horizontal="right" vertical="center"/>
    </xf>
    <xf numFmtId="353" fontId="48" fillId="30" borderId="123" applyNumberFormat="0" applyProtection="0">
      <alignment horizontal="left" vertical="center" indent="1"/>
    </xf>
    <xf numFmtId="353" fontId="48" fillId="83" borderId="123" applyNumberFormat="0" applyProtection="0">
      <alignment horizontal="left" vertical="center" indent="1"/>
    </xf>
    <xf numFmtId="4" fontId="48" fillId="20" borderId="123" applyNumberFormat="0" applyProtection="0">
      <alignment horizontal="right" vertical="center"/>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13" borderId="123" applyNumberFormat="0" applyFont="0" applyAlignment="0" applyProtection="0"/>
    <xf numFmtId="4" fontId="48" fillId="23" borderId="123" applyNumberFormat="0" applyProtection="0">
      <alignment horizontal="right" vertical="center"/>
    </xf>
    <xf numFmtId="353" fontId="48" fillId="32" borderId="123" applyNumberFormat="0" applyProtection="0">
      <alignment horizontal="left" vertical="center" indent="1"/>
    </xf>
    <xf numFmtId="353" fontId="48" fillId="30" borderId="128" applyNumberFormat="0" applyProtection="0">
      <alignment horizontal="left" vertical="top" indent="1"/>
    </xf>
    <xf numFmtId="4" fontId="48" fillId="19" borderId="123" applyNumberFormat="0" applyProtection="0">
      <alignment horizontal="right" vertical="center"/>
    </xf>
    <xf numFmtId="353" fontId="252" fillId="34"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248" fillId="128" borderId="123" applyNumberFormat="0" applyAlignment="0" applyProtection="0"/>
    <xf numFmtId="353" fontId="48" fillId="31" borderId="128" applyNumberFormat="0" applyProtection="0">
      <alignment horizontal="left" vertical="top" indent="1"/>
    </xf>
    <xf numFmtId="353"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3" fontId="48" fillId="13" borderId="123" applyNumberFormat="0" applyFont="0" applyAlignment="0" applyProtection="0"/>
    <xf numFmtId="353" fontId="48" fillId="31" borderId="128" applyNumberFormat="0" applyProtection="0">
      <alignment horizontal="left" vertical="top" indent="1"/>
    </xf>
    <xf numFmtId="4" fontId="48" fillId="20" borderId="123" applyNumberFormat="0" applyProtection="0">
      <alignment horizontal="right" vertical="center"/>
    </xf>
    <xf numFmtId="353" fontId="137" fillId="14" borderId="123" applyNumberFormat="0" applyAlignment="0" applyProtection="0"/>
    <xf numFmtId="4" fontId="250" fillId="50" borderId="123" applyNumberFormat="0" applyProtection="0">
      <alignment horizontal="right" vertical="center"/>
    </xf>
    <xf numFmtId="353" fontId="48" fillId="31" borderId="128" applyNumberFormat="0" applyProtection="0">
      <alignment horizontal="left" vertical="top" indent="1"/>
    </xf>
    <xf numFmtId="4" fontId="253" fillId="35" borderId="129"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30" borderId="129" applyNumberFormat="0" applyProtection="0">
      <alignment horizontal="left" vertical="center" indent="1"/>
    </xf>
    <xf numFmtId="353" fontId="252" fillId="34" borderId="128" applyNumberFormat="0" applyProtection="0">
      <alignment horizontal="left" vertical="top" indent="1"/>
    </xf>
    <xf numFmtId="353"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3" fontId="10" fillId="0" borderId="132" applyNumberFormat="0" applyFill="0" applyAlignment="0" applyProtection="0"/>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23" borderId="123" applyNumberFormat="0" applyProtection="0">
      <alignment horizontal="right" vertical="center"/>
    </xf>
    <xf numFmtId="353" fontId="48" fillId="83"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 fillId="30" borderId="128" applyNumberFormat="0" applyProtection="0">
      <alignment horizontal="left" vertical="center" indent="1"/>
    </xf>
    <xf numFmtId="353" fontId="248" fillId="128" borderId="123" applyNumberFormat="0" applyAlignment="0" applyProtection="0"/>
    <xf numFmtId="353" fontId="48" fillId="30" borderId="123" applyNumberFormat="0" applyProtection="0">
      <alignment horizontal="left" vertical="center" indent="1"/>
    </xf>
    <xf numFmtId="353" fontId="48" fillId="32" borderId="128" applyNumberFormat="0" applyProtection="0">
      <alignment horizontal="left" vertical="top" indent="1"/>
    </xf>
    <xf numFmtId="37" fontId="59" fillId="0" borderId="131" applyNumberFormat="0"/>
    <xf numFmtId="353"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3" fontId="48" fillId="13" borderId="123" applyNumberFormat="0" applyFont="0" applyAlignment="0" applyProtection="0"/>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center" indent="1"/>
    </xf>
    <xf numFmtId="353" fontId="48" fillId="19" borderId="128" applyNumberFormat="0" applyProtection="0">
      <alignment horizontal="left" vertical="top" indent="1"/>
    </xf>
    <xf numFmtId="353" fontId="248" fillId="128" borderId="123" applyNumberFormat="0" applyAlignment="0" applyProtection="0"/>
    <xf numFmtId="4" fontId="48" fillId="24" borderId="123" applyNumberFormat="0" applyProtection="0">
      <alignment horizontal="right" vertical="center"/>
    </xf>
    <xf numFmtId="210" fontId="59" fillId="0" borderId="32" applyFill="0"/>
    <xf numFmtId="353" fontId="48" fillId="13" borderId="123" applyNumberFormat="0" applyFont="0" applyAlignment="0" applyProtection="0"/>
    <xf numFmtId="353" fontId="252" fillId="34" borderId="128" applyNumberFormat="0" applyProtection="0">
      <alignment horizontal="left" vertical="top" indent="1"/>
    </xf>
    <xf numFmtId="4" fontId="252" fillId="34" borderId="128" applyNumberFormat="0" applyProtection="0">
      <alignment vertical="center"/>
    </xf>
    <xf numFmtId="353" fontId="48" fillId="13" borderId="123" applyNumberFormat="0" applyFont="0" applyAlignment="0" applyProtection="0"/>
    <xf numFmtId="353" fontId="48" fillId="13" borderId="123" applyNumberFormat="0" applyFont="0" applyAlignment="0" applyProtection="0"/>
    <xf numFmtId="353"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137" fillId="14" borderId="123" applyNumberFormat="0" applyAlignment="0" applyProtection="0"/>
    <xf numFmtId="37" fontId="59" fillId="0" borderId="131" applyNumberFormat="0"/>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29" borderId="129" applyNumberFormat="0" applyProtection="0">
      <alignment horizontal="left" vertical="center" indent="1"/>
    </xf>
    <xf numFmtId="353"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3" fontId="48" fillId="30" borderId="128" applyNumberFormat="0" applyProtection="0">
      <alignment horizontal="left" vertical="top" indent="1"/>
    </xf>
    <xf numFmtId="4" fontId="252" fillId="61" borderId="128" applyNumberFormat="0" applyProtection="0">
      <alignment horizontal="left" vertical="center" indent="1"/>
    </xf>
    <xf numFmtId="353" fontId="4" fillId="30" borderId="128" applyNumberFormat="0" applyProtection="0">
      <alignment horizontal="left" vertical="center" indent="1"/>
    </xf>
    <xf numFmtId="4" fontId="48" fillId="64" borderId="123" applyNumberFormat="0" applyProtection="0">
      <alignment horizontal="left" vertical="center" indent="1"/>
    </xf>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210" fontId="59" fillId="0" borderId="32" applyFill="0"/>
    <xf numFmtId="353" fontId="48" fillId="32" borderId="128" applyNumberFormat="0" applyProtection="0">
      <alignment horizontal="left" vertical="top" indent="1"/>
    </xf>
    <xf numFmtId="4" fontId="48" fillId="19"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179" fillId="128" borderId="127" applyNumberFormat="0" applyAlignment="0" applyProtection="0"/>
    <xf numFmtId="353" fontId="48" fillId="61" borderId="123"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27" borderId="123" applyNumberFormat="0" applyProtection="0">
      <alignment horizontal="right" vertical="center"/>
    </xf>
    <xf numFmtId="353" fontId="251" fillId="18" borderId="128" applyNumberFormat="0" applyProtection="0">
      <alignment horizontal="left" vertical="top"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10" fillId="0" borderId="132" applyNumberFormat="0" applyFill="0" applyAlignment="0" applyProtection="0"/>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210" fontId="59" fillId="0" borderId="32" applyFill="0"/>
    <xf numFmtId="353"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 fillId="32" borderId="128" applyNumberFormat="0" applyProtection="0">
      <alignment horizontal="left" vertical="top" indent="1"/>
    </xf>
    <xf numFmtId="353" fontId="137" fillId="14" borderId="123" applyNumberFormat="0" applyAlignment="0" applyProtection="0"/>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4" fontId="48" fillId="131" borderId="123" applyNumberFormat="0" applyProtection="0">
      <alignment horizontal="right" vertical="center"/>
    </xf>
    <xf numFmtId="353" fontId="48" fillId="30" borderId="128" applyNumberFormat="0" applyProtection="0">
      <alignment horizontal="left" vertical="top" indent="1"/>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48" fillId="0" borderId="123" applyNumberFormat="0" applyProtection="0">
      <alignment horizontal="right" vertical="center"/>
    </xf>
    <xf numFmtId="353" fontId="4" fillId="32" borderId="128" applyNumberFormat="0" applyProtection="0">
      <alignment horizontal="left" vertical="top" indent="1"/>
    </xf>
    <xf numFmtId="37" fontId="59" fillId="0" borderId="131" applyNumberFormat="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3" fontId="248" fillId="128" borderId="123" applyNumberFormat="0" applyAlignment="0" applyProtection="0"/>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0" borderId="123" applyNumberFormat="0" applyProtection="0">
      <alignment horizontal="right" vertical="center"/>
    </xf>
    <xf numFmtId="353"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3" fontId="48" fillId="30" borderId="128" applyNumberFormat="0" applyProtection="0">
      <alignment horizontal="left" vertical="top" indent="1"/>
    </xf>
    <xf numFmtId="353" fontId="48" fillId="31"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4" fontId="48" fillId="64" borderId="123" applyNumberFormat="0" applyProtection="0">
      <alignment horizontal="left" vertical="center" indent="1"/>
    </xf>
    <xf numFmtId="353" fontId="48" fillId="30" borderId="128" applyNumberFormat="0" applyProtection="0">
      <alignment horizontal="left" vertical="top" indent="1"/>
    </xf>
    <xf numFmtId="353" fontId="48" fillId="19"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164" fontId="7" fillId="0" borderId="0" applyFont="0" applyFill="0" applyBorder="0" applyAlignment="0" applyProtection="0"/>
    <xf numFmtId="353"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 fillId="31" borderId="128" applyNumberFormat="0" applyProtection="0">
      <alignment horizontal="left" vertical="top" indent="1"/>
    </xf>
    <xf numFmtId="353" fontId="48" fillId="32" borderId="128" applyNumberFormat="0" applyProtection="0">
      <alignment horizontal="left" vertical="top" indent="1"/>
    </xf>
    <xf numFmtId="353" fontId="48" fillId="32" borderId="123"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3"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3" fontId="48" fillId="19" borderId="128" applyNumberFormat="0" applyProtection="0">
      <alignment horizontal="left" vertical="top" indent="1"/>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3" fontId="48" fillId="13" borderId="123" applyNumberFormat="0" applyFont="0" applyAlignment="0" applyProtection="0"/>
    <xf numFmtId="353" fontId="248" fillId="128" borderId="123" applyNumberFormat="0" applyAlignment="0" applyProtection="0"/>
    <xf numFmtId="4" fontId="48" fillId="131" borderId="123" applyNumberFormat="0" applyProtection="0">
      <alignment horizontal="right" vertical="center"/>
    </xf>
    <xf numFmtId="353" fontId="48" fillId="13" borderId="123" applyNumberFormat="0" applyFont="0" applyAlignment="0" applyProtection="0"/>
    <xf numFmtId="353"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10" fillId="0" borderId="132" applyNumberFormat="0" applyFill="0" applyAlignment="0" applyProtection="0"/>
    <xf numFmtId="353" fontId="48" fillId="32" borderId="128" applyNumberFormat="0" applyProtection="0">
      <alignment horizontal="left" vertical="top" indent="1"/>
    </xf>
    <xf numFmtId="353" fontId="248" fillId="128" borderId="123" applyNumberFormat="0" applyAlignment="0" applyProtection="0"/>
    <xf numFmtId="4" fontId="48" fillId="0" borderId="123" applyNumberFormat="0" applyProtection="0">
      <alignment horizontal="right" vertical="center"/>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 fillId="31" borderId="128" applyNumberFormat="0" applyProtection="0">
      <alignment horizontal="left" vertical="top" indent="1"/>
    </xf>
    <xf numFmtId="4" fontId="48" fillId="28" borderId="123" applyNumberFormat="0" applyProtection="0">
      <alignment horizontal="right" vertical="center"/>
    </xf>
    <xf numFmtId="353" fontId="251" fillId="18" borderId="128" applyNumberFormat="0" applyProtection="0">
      <alignment horizontal="left" vertical="top" indent="1"/>
    </xf>
    <xf numFmtId="353" fontId="88" fillId="31" borderId="130" applyBorder="0"/>
    <xf numFmtId="353" fontId="48" fillId="32" borderId="123" applyNumberFormat="0" applyProtection="0">
      <alignment horizontal="left" vertical="center" indent="1"/>
    </xf>
    <xf numFmtId="353" fontId="137" fillId="14" borderId="123" applyNumberFormat="0" applyAlignment="0" applyProtection="0"/>
    <xf numFmtId="4" fontId="252" fillId="61" borderId="128" applyNumberFormat="0" applyProtection="0">
      <alignment horizontal="left" vertical="center" indent="1"/>
    </xf>
    <xf numFmtId="353" fontId="48" fillId="13" borderId="123" applyNumberFormat="0" applyFont="0" applyAlignment="0" applyProtection="0"/>
    <xf numFmtId="353"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10" fillId="0" borderId="132" applyNumberFormat="0" applyFill="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252" fillId="34" borderId="128" applyNumberFormat="0" applyProtection="0">
      <alignment horizontal="left" vertical="top" indent="1"/>
    </xf>
    <xf numFmtId="353" fontId="48" fillId="32" borderId="128" applyNumberFormat="0" applyProtection="0">
      <alignment horizontal="left" vertical="top" indent="1"/>
    </xf>
    <xf numFmtId="353" fontId="252" fillId="19" borderId="128" applyNumberFormat="0" applyProtection="0">
      <alignment horizontal="left" vertical="top" indent="1"/>
    </xf>
    <xf numFmtId="353" fontId="88" fillId="31" borderId="130" applyBorder="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3" fontId="4" fillId="31" borderId="128" applyNumberFormat="0" applyProtection="0">
      <alignment horizontal="left" vertical="center" indent="1"/>
    </xf>
    <xf numFmtId="353" fontId="48" fillId="32"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4" fontId="48" fillId="18" borderId="123" applyNumberFormat="0" applyProtection="0">
      <alignment vertical="center"/>
    </xf>
    <xf numFmtId="353" fontId="4" fillId="31" borderId="128" applyNumberFormat="0" applyProtection="0">
      <alignment horizontal="left" vertical="center" indent="1"/>
    </xf>
    <xf numFmtId="353" fontId="48" fillId="30"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25" borderId="123" applyNumberFormat="0" applyProtection="0">
      <alignment horizontal="right" vertical="center"/>
    </xf>
    <xf numFmtId="353"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0" fillId="50" borderId="123" applyNumberFormat="0" applyProtection="0">
      <alignment horizontal="right" vertical="center"/>
    </xf>
    <xf numFmtId="353" fontId="10" fillId="0" borderId="132" applyNumberFormat="0" applyFill="0" applyAlignment="0" applyProtection="0"/>
    <xf numFmtId="4" fontId="252" fillId="34" borderId="128" applyNumberFormat="0" applyProtection="0">
      <alignment vertical="center"/>
    </xf>
    <xf numFmtId="353" fontId="48" fillId="30" borderId="128" applyNumberFormat="0" applyProtection="0">
      <alignment horizontal="left" vertical="top" indent="1"/>
    </xf>
    <xf numFmtId="353" fontId="88" fillId="31" borderId="130" applyBorder="0"/>
    <xf numFmtId="4" fontId="48" fillId="0" borderId="123" applyNumberFormat="0" applyProtection="0">
      <alignment horizontal="right" vertical="center"/>
    </xf>
    <xf numFmtId="353" fontId="48" fillId="30" borderId="128" applyNumberFormat="0" applyProtection="0">
      <alignment horizontal="left" vertical="top" indent="1"/>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353" fontId="137" fillId="14" borderId="123" applyNumberFormat="0" applyAlignment="0" applyProtection="0"/>
    <xf numFmtId="353" fontId="48" fillId="32" borderId="128" applyNumberFormat="0" applyProtection="0">
      <alignment horizontal="left" vertical="top" indent="1"/>
    </xf>
    <xf numFmtId="353" fontId="137" fillId="14" borderId="123" applyNumberFormat="0" applyAlignment="0" applyProtection="0"/>
    <xf numFmtId="353" fontId="48" fillId="83" borderId="123" applyNumberFormat="0" applyProtection="0">
      <alignment horizontal="left" vertical="center"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88" fillId="31" borderId="130" applyBorder="0"/>
    <xf numFmtId="4" fontId="48" fillId="22" borderId="129" applyNumberFormat="0" applyProtection="0">
      <alignment horizontal="right" vertical="center"/>
    </xf>
    <xf numFmtId="353" fontId="48" fillId="30" borderId="128" applyNumberFormat="0" applyProtection="0">
      <alignment horizontal="left" vertical="top" indent="1"/>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250" fillId="50"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3" fontId="48" fillId="19" borderId="128" applyNumberFormat="0" applyProtection="0">
      <alignment horizontal="left" vertical="top"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 fillId="32" borderId="128"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4" fontId="250" fillId="50" borderId="123" applyNumberFormat="0" applyProtection="0">
      <alignment horizontal="right" vertical="center"/>
    </xf>
    <xf numFmtId="353" fontId="4" fillId="30" borderId="128" applyNumberFormat="0" applyProtection="0">
      <alignment horizontal="left" vertical="top" indent="1"/>
    </xf>
    <xf numFmtId="353"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3" fontId="10" fillId="0" borderId="132" applyNumberFormat="0" applyFill="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252" fillId="34" borderId="128" applyNumberFormat="0" applyProtection="0">
      <alignment horizontal="left" vertical="top" indent="1"/>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3"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13" borderId="123" applyNumberFormat="0" applyFont="0" applyAlignment="0" applyProtection="0"/>
    <xf numFmtId="210" fontId="59" fillId="0" borderId="32" applyFill="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0" borderId="128" applyNumberFormat="0" applyProtection="0">
      <alignment horizontal="left" vertical="top" indent="1"/>
    </xf>
    <xf numFmtId="4" fontId="4" fillId="31" borderId="129" applyNumberFormat="0" applyProtection="0">
      <alignment horizontal="left" vertical="center" indent="1"/>
    </xf>
    <xf numFmtId="353" fontId="4" fillId="31" borderId="128" applyNumberFormat="0" applyProtection="0">
      <alignment horizontal="left" vertical="top" indent="1"/>
    </xf>
    <xf numFmtId="4" fontId="48" fillId="22" borderId="129" applyNumberFormat="0" applyProtection="0">
      <alignment horizontal="right" vertical="center"/>
    </xf>
    <xf numFmtId="353" fontId="48" fillId="61" borderId="123" applyNumberFormat="0" applyProtection="0">
      <alignment horizontal="left" vertical="center" indent="1"/>
    </xf>
    <xf numFmtId="4" fontId="48" fillId="45"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251" fillId="18" borderId="128" applyNumberFormat="0" applyProtection="0">
      <alignment horizontal="left" vertical="top" indent="1"/>
    </xf>
    <xf numFmtId="353" fontId="48" fillId="13" borderId="123" applyNumberFormat="0" applyFont="0" applyAlignment="0" applyProtection="0"/>
    <xf numFmtId="353"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23" applyNumberFormat="0" applyAlignment="0" applyProtection="0"/>
    <xf numFmtId="4" fontId="250" fillId="50" borderId="123" applyNumberFormat="0" applyProtection="0">
      <alignment horizontal="right" vertical="center"/>
    </xf>
    <xf numFmtId="353" fontId="137" fillId="14" borderId="123" applyNumberFormat="0" applyAlignment="0" applyProtection="0"/>
    <xf numFmtId="164" fontId="7" fillId="0" borderId="0" applyFont="0" applyFill="0" applyBorder="0" applyAlignment="0" applyProtection="0"/>
    <xf numFmtId="353" fontId="248" fillId="128" borderId="123" applyNumberFormat="0" applyAlignment="0" applyProtection="0"/>
    <xf numFmtId="4" fontId="48" fillId="45" borderId="123" applyNumberFormat="0" applyProtection="0">
      <alignment horizontal="left" vertical="center" indent="1"/>
    </xf>
    <xf numFmtId="353"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58">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6" fillId="47" borderId="114"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3" xfId="90" applyFont="1" applyFill="1" applyBorder="1" applyAlignment="1">
      <alignment horizontal="left"/>
    </xf>
    <xf numFmtId="0" fontId="256" fillId="47" borderId="57" xfId="0" applyFont="1" applyFill="1" applyBorder="1" applyAlignment="1">
      <alignment wrapText="1"/>
    </xf>
    <xf numFmtId="0" fontId="256" fillId="47" borderId="114"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0" fontId="3" fillId="42" borderId="0" xfId="0" applyFont="1" applyFill="1" applyAlignment="1">
      <alignment horizontal="left" vertical="top" indent="1"/>
    </xf>
    <xf numFmtId="172" fontId="0" fillId="132" borderId="64" xfId="0" applyNumberFormat="1" applyFill="1" applyBorder="1" applyAlignment="1">
      <alignment horizontal="right" vertical="top"/>
    </xf>
    <xf numFmtId="172" fontId="0" fillId="133" borderId="66" xfId="0" applyNumberFormat="1" applyFont="1" applyFill="1" applyBorder="1" applyAlignment="1">
      <alignment horizontal="right"/>
    </xf>
    <xf numFmtId="172" fontId="0" fillId="134" borderId="69" xfId="0" applyNumberFormat="1" applyFont="1" applyFill="1" applyBorder="1" applyAlignment="1">
      <alignment horizontal="right"/>
    </xf>
    <xf numFmtId="172" fontId="3" fillId="133" borderId="78" xfId="0" applyNumberFormat="1" applyFont="1" applyFill="1" applyBorder="1" applyAlignment="1">
      <alignment horizontal="right"/>
    </xf>
    <xf numFmtId="164" fontId="6" fillId="0" borderId="0" xfId="1" applyFont="1" applyFill="1" applyBorder="1" applyProtection="1"/>
    <xf numFmtId="173" fontId="5" fillId="52" borderId="68" xfId="7" applyNumberFormat="1" applyFont="1" applyFill="1" applyBorder="1" applyAlignment="1">
      <alignment horizontal="center"/>
    </xf>
    <xf numFmtId="0" fontId="0" fillId="53" borderId="0" xfId="0" applyFill="1" applyAlignment="1">
      <alignment horizontal="center" vertical="center" wrapText="1"/>
    </xf>
    <xf numFmtId="0" fontId="0" fillId="0" borderId="0" xfId="0" applyAlignment="1">
      <alignment horizontal="center" vertical="center" wrapText="1"/>
    </xf>
    <xf numFmtId="0" fontId="29" fillId="0" borderId="0" xfId="92"/>
    <xf numFmtId="352" fontId="0" fillId="0" borderId="0" xfId="0" applyNumberFormat="1" applyFill="1"/>
    <xf numFmtId="43" fontId="0" fillId="0" borderId="0" xfId="0" applyNumberFormat="1" applyAlignment="1">
      <alignment horizontal="left" vertical="top"/>
    </xf>
    <xf numFmtId="170" fontId="0" fillId="0" borderId="0" xfId="77" applyNumberFormat="1" applyFont="1"/>
    <xf numFmtId="170" fontId="0" fillId="0" borderId="0" xfId="77" applyNumberFormat="1" applyFont="1" applyFill="1"/>
    <xf numFmtId="165" fontId="5" fillId="3" borderId="67"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66" xfId="2" applyNumberFormat="1" applyFont="1" applyFill="1" applyBorder="1" applyAlignment="1">
      <alignment vertical="center"/>
    </xf>
    <xf numFmtId="165" fontId="5" fillId="3" borderId="70" xfId="2" applyNumberFormat="1" applyFont="1" applyFill="1" applyBorder="1" applyAlignment="1">
      <alignment vertical="center"/>
    </xf>
    <xf numFmtId="165" fontId="5" fillId="3" borderId="71" xfId="2" applyNumberFormat="1" applyFont="1" applyFill="1" applyBorder="1" applyAlignment="1">
      <alignment vertical="center"/>
    </xf>
    <xf numFmtId="165" fontId="5" fillId="3" borderId="72" xfId="2" applyNumberFormat="1" applyFont="1" applyFill="1" applyBorder="1" applyAlignment="1">
      <alignment vertical="center"/>
    </xf>
    <xf numFmtId="165" fontId="5" fillId="3" borderId="111" xfId="2" applyNumberFormat="1" applyFont="1" applyFill="1" applyBorder="1" applyAlignment="1">
      <alignment vertical="center"/>
    </xf>
    <xf numFmtId="165" fontId="5" fillId="3" borderId="112" xfId="2" applyNumberFormat="1" applyFont="1" applyFill="1" applyBorder="1" applyAlignment="1">
      <alignment vertical="center"/>
    </xf>
    <xf numFmtId="165" fontId="5" fillId="3" borderId="68" xfId="2" applyNumberFormat="1" applyFont="1" applyFill="1" applyBorder="1" applyAlignment="1">
      <alignment vertical="center"/>
    </xf>
    <xf numFmtId="165" fontId="5" fillId="3" borderId="69" xfId="2" applyNumberFormat="1" applyFont="1" applyFill="1" applyBorder="1" applyAlignment="1">
      <alignment vertical="center"/>
    </xf>
    <xf numFmtId="172" fontId="0" fillId="117" borderId="137" xfId="0" applyNumberFormat="1" applyFill="1" applyBorder="1" applyAlignment="1">
      <alignment horizontal="right" vertical="top"/>
    </xf>
    <xf numFmtId="172" fontId="0" fillId="117" borderId="138" xfId="0" applyNumberFormat="1" applyFill="1" applyBorder="1" applyAlignment="1">
      <alignment horizontal="right" vertical="top"/>
    </xf>
    <xf numFmtId="172" fontId="0" fillId="117" borderId="139" xfId="0" applyNumberFormat="1" applyFill="1" applyBorder="1" applyAlignment="1">
      <alignment horizontal="right" vertical="top"/>
    </xf>
    <xf numFmtId="9" fontId="0" fillId="117" borderId="70" xfId="77" applyFont="1" applyFill="1" applyBorder="1" applyAlignment="1">
      <alignment horizontal="right" vertical="top"/>
    </xf>
    <xf numFmtId="9" fontId="0" fillId="117" borderId="71" xfId="77" applyFont="1" applyFill="1" applyBorder="1" applyAlignment="1">
      <alignment horizontal="right" vertical="top"/>
    </xf>
    <xf numFmtId="9" fontId="0" fillId="117" borderId="72" xfId="77" applyFont="1" applyFill="1" applyBorder="1" applyAlignment="1">
      <alignment horizontal="right" vertical="top"/>
    </xf>
    <xf numFmtId="172" fontId="5" fillId="52" borderId="68" xfId="2" applyNumberFormat="1" applyFont="1" applyFill="1" applyBorder="1"/>
    <xf numFmtId="172" fontId="5" fillId="52" borderId="70" xfId="2" applyNumberFormat="1" applyFont="1" applyFill="1" applyBorder="1"/>
    <xf numFmtId="172" fontId="5" fillId="52" borderId="71" xfId="2" applyNumberFormat="1" applyFont="1" applyFill="1" applyBorder="1"/>
    <xf numFmtId="172" fontId="5" fillId="52" borderId="72" xfId="2" applyNumberFormat="1" applyFont="1" applyFill="1" applyBorder="1"/>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5" xfId="0" applyNumberFormat="1" applyFill="1" applyBorder="1" applyAlignment="1">
      <alignment horizontal="right" vertical="top"/>
    </xf>
    <xf numFmtId="172" fontId="5" fillId="52" borderId="65" xfId="2" applyNumberFormat="1" applyFont="1" applyFill="1" applyBorder="1" applyAlignment="1">
      <alignment vertical="center"/>
    </xf>
    <xf numFmtId="172" fontId="5" fillId="52" borderId="68" xfId="2" applyNumberFormat="1" applyFont="1" applyFill="1" applyBorder="1" applyAlignment="1">
      <alignment vertical="center"/>
    </xf>
    <xf numFmtId="172" fontId="5" fillId="52" borderId="70" xfId="2" applyNumberFormat="1" applyFont="1" applyFill="1" applyBorder="1" applyAlignment="1">
      <alignment vertical="center"/>
    </xf>
    <xf numFmtId="172" fontId="5" fillId="52" borderId="71" xfId="2" applyNumberFormat="1" applyFont="1" applyFill="1" applyBorder="1" applyAlignment="1">
      <alignment vertical="center"/>
    </xf>
    <xf numFmtId="172" fontId="5" fillId="52" borderId="72" xfId="2" applyNumberFormat="1" applyFont="1" applyFill="1" applyBorder="1" applyAlignment="1">
      <alignment vertical="center"/>
    </xf>
    <xf numFmtId="172" fontId="5" fillId="52" borderId="137" xfId="2" applyNumberFormat="1" applyFont="1" applyFill="1" applyBorder="1" applyAlignment="1">
      <alignment vertical="center"/>
    </xf>
    <xf numFmtId="172" fontId="5" fillId="52" borderId="138" xfId="2" applyNumberFormat="1" applyFont="1" applyFill="1" applyBorder="1" applyAlignment="1">
      <alignment vertical="center"/>
    </xf>
    <xf numFmtId="172" fontId="5" fillId="52" borderId="139" xfId="2" applyNumberFormat="1" applyFont="1" applyFill="1" applyBorder="1" applyAlignment="1">
      <alignment vertical="center"/>
    </xf>
    <xf numFmtId="172" fontId="3" fillId="52" borderId="136" xfId="0" applyNumberFormat="1" applyFont="1" applyFill="1" applyBorder="1" applyAlignment="1">
      <alignment horizontal="right" vertical="top"/>
    </xf>
    <xf numFmtId="172" fontId="6" fillId="38" borderId="137" xfId="1" applyNumberFormat="1" applyFont="1" applyFill="1" applyBorder="1" applyProtection="1"/>
    <xf numFmtId="172" fontId="6" fillId="38" borderId="138" xfId="1" applyNumberFormat="1" applyFont="1" applyFill="1" applyBorder="1" applyProtection="1"/>
    <xf numFmtId="172" fontId="6" fillId="38" borderId="139" xfId="1" applyNumberFormat="1" applyFont="1" applyFill="1" applyBorder="1" applyProtection="1"/>
    <xf numFmtId="172" fontId="5" fillId="3" borderId="66" xfId="2" applyNumberFormat="1" applyFont="1" applyFill="1" applyBorder="1"/>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5" fillId="51" borderId="77" xfId="1" applyNumberFormat="1" applyFont="1" applyFill="1" applyBorder="1" applyProtection="1"/>
    <xf numFmtId="172" fontId="5" fillId="51" borderId="78" xfId="1" applyNumberFormat="1" applyFont="1" applyFill="1" applyBorder="1" applyProtection="1"/>
    <xf numFmtId="178" fontId="0" fillId="51" borderId="77" xfId="1" applyNumberFormat="1" applyFont="1" applyFill="1" applyBorder="1" applyAlignment="1">
      <alignment horizontal="right"/>
    </xf>
    <xf numFmtId="178" fontId="0" fillId="51" borderId="78" xfId="1" applyNumberFormat="1" applyFont="1" applyFill="1" applyBorder="1" applyAlignment="1">
      <alignment horizontal="right"/>
    </xf>
    <xf numFmtId="172" fontId="6" fillId="51" borderId="64" xfId="1" applyNumberFormat="1" applyFont="1" applyFill="1" applyBorder="1" applyProtection="1"/>
    <xf numFmtId="172" fontId="6" fillId="51" borderId="65" xfId="1" applyNumberFormat="1" applyFont="1" applyFill="1" applyBorder="1" applyProtection="1"/>
    <xf numFmtId="172" fontId="6" fillId="51" borderId="66" xfId="1" applyNumberFormat="1" applyFont="1" applyFill="1" applyBorder="1" applyProtection="1"/>
    <xf numFmtId="173" fontId="0" fillId="0" borderId="67" xfId="0" applyNumberFormat="1" applyFont="1" applyFill="1" applyBorder="1" applyAlignment="1">
      <alignment horizontal="right"/>
    </xf>
    <xf numFmtId="173" fontId="0" fillId="0" borderId="68" xfId="0" applyNumberFormat="1" applyFont="1" applyFill="1" applyBorder="1" applyAlignment="1">
      <alignment horizontal="right"/>
    </xf>
    <xf numFmtId="172" fontId="0" fillId="0" borderId="68" xfId="0" applyNumberFormat="1" applyFont="1" applyFill="1" applyBorder="1" applyAlignment="1">
      <alignment horizontal="right"/>
    </xf>
    <xf numFmtId="172" fontId="0" fillId="0" borderId="69" xfId="0" applyNumberFormat="1" applyFont="1" applyFill="1" applyBorder="1" applyAlignment="1">
      <alignment horizontal="right"/>
    </xf>
    <xf numFmtId="172" fontId="6" fillId="51" borderId="67" xfId="1" applyNumberFormat="1" applyFont="1" applyFill="1" applyBorder="1" applyProtection="1"/>
    <xf numFmtId="172" fontId="6" fillId="51" borderId="68" xfId="1" applyNumberFormat="1" applyFont="1" applyFill="1" applyBorder="1" applyProtection="1"/>
    <xf numFmtId="172" fontId="6" fillId="51" borderId="69" xfId="1" applyNumberFormat="1" applyFont="1" applyFill="1" applyBorder="1" applyProtection="1"/>
    <xf numFmtId="172" fontId="6" fillId="51" borderId="70" xfId="1" applyNumberFormat="1" applyFont="1" applyFill="1" applyBorder="1" applyProtection="1"/>
    <xf numFmtId="172" fontId="6" fillId="51" borderId="71" xfId="1" applyNumberFormat="1" applyFont="1" applyFill="1" applyBorder="1" applyProtection="1"/>
    <xf numFmtId="172" fontId="6" fillId="51" borderId="72" xfId="1" applyNumberFormat="1" applyFont="1" applyFill="1" applyBorder="1" applyProtection="1"/>
    <xf numFmtId="172" fontId="6" fillId="42" borderId="25" xfId="1" applyNumberFormat="1" applyFont="1" applyFill="1" applyBorder="1" applyProtection="1"/>
    <xf numFmtId="172" fontId="6" fillId="38" borderId="67" xfId="1" applyNumberFormat="1" applyFont="1" applyFill="1" applyBorder="1" applyProtection="1"/>
    <xf numFmtId="172" fontId="6" fillId="38" borderId="68" xfId="1" applyNumberFormat="1" applyFont="1" applyFill="1" applyBorder="1" applyProtection="1"/>
    <xf numFmtId="172" fontId="6" fillId="38" borderId="69" xfId="1" applyNumberFormat="1" applyFont="1" applyFill="1" applyBorder="1" applyProtection="1"/>
    <xf numFmtId="170" fontId="5" fillId="117" borderId="64" xfId="1" applyNumberFormat="1" applyFont="1" applyFill="1" applyBorder="1" applyProtection="1"/>
    <xf numFmtId="170" fontId="5" fillId="117" borderId="65" xfId="1" applyNumberFormat="1" applyFont="1" applyFill="1" applyBorder="1" applyProtection="1"/>
    <xf numFmtId="170" fontId="5" fillId="117" borderId="66" xfId="1" applyNumberFormat="1" applyFont="1" applyFill="1" applyBorder="1" applyProtection="1"/>
    <xf numFmtId="170" fontId="5" fillId="117" borderId="70" xfId="1" applyNumberFormat="1" applyFont="1" applyFill="1" applyBorder="1" applyProtection="1"/>
    <xf numFmtId="170" fontId="5" fillId="117" borderId="71" xfId="1" applyNumberFormat="1" applyFont="1" applyFill="1" applyBorder="1" applyProtection="1"/>
    <xf numFmtId="170" fontId="5" fillId="117" borderId="72" xfId="1" applyNumberFormat="1" applyFont="1" applyFill="1" applyBorder="1" applyProtection="1"/>
    <xf numFmtId="172" fontId="5" fillId="52" borderId="140" xfId="2" applyNumberFormat="1" applyFont="1" applyFill="1" applyBorder="1" applyAlignment="1">
      <alignment horizontal="right" vertical="center"/>
    </xf>
    <xf numFmtId="172" fontId="0" fillId="51" borderId="72" xfId="1" applyNumberFormat="1" applyFont="1" applyFill="1" applyBorder="1" applyAlignment="1"/>
    <xf numFmtId="172" fontId="3" fillId="52" borderId="77" xfId="1" applyNumberFormat="1" applyFont="1" applyFill="1" applyBorder="1" applyAlignment="1">
      <alignment horizontal="right"/>
    </xf>
    <xf numFmtId="172" fontId="3" fillId="52" borderId="78" xfId="1" applyNumberFormat="1" applyFont="1" applyFill="1" applyBorder="1" applyAlignment="1">
      <alignment horizontal="right"/>
    </xf>
    <xf numFmtId="172" fontId="5" fillId="52" borderId="65" xfId="1" applyNumberFormat="1" applyFont="1" applyFill="1" applyBorder="1" applyProtection="1"/>
    <xf numFmtId="172" fontId="0" fillId="51" borderId="77" xfId="0" applyNumberFormat="1" applyFill="1" applyBorder="1"/>
    <xf numFmtId="172" fontId="0" fillId="51" borderId="78" xfId="0" applyNumberFormat="1" applyFill="1" applyBorder="1"/>
    <xf numFmtId="172" fontId="0" fillId="51" borderId="77" xfId="0" applyNumberFormat="1" applyFont="1" applyFill="1" applyBorder="1"/>
    <xf numFmtId="172" fontId="0" fillId="51" borderId="78" xfId="0" applyNumberFormat="1" applyFont="1" applyFill="1" applyBorder="1"/>
    <xf numFmtId="172" fontId="5" fillId="3" borderId="77" xfId="2" applyNumberFormat="1" applyFont="1" applyFill="1" applyBorder="1"/>
    <xf numFmtId="172" fontId="5" fillId="3" borderId="78" xfId="2" applyNumberFormat="1" applyFont="1" applyFill="1" applyBorder="1"/>
    <xf numFmtId="178" fontId="0" fillId="51" borderId="64" xfId="0" applyNumberFormat="1" applyFill="1" applyBorder="1" applyAlignment="1">
      <alignment horizontal="right" vertical="top"/>
    </xf>
    <xf numFmtId="178" fontId="0" fillId="51" borderId="65" xfId="0" applyNumberFormat="1" applyFill="1" applyBorder="1" applyAlignment="1">
      <alignment horizontal="right" vertical="top"/>
    </xf>
    <xf numFmtId="178" fontId="0" fillId="51" borderId="66" xfId="0" applyNumberFormat="1" applyFill="1" applyBorder="1" applyAlignment="1">
      <alignment horizontal="right" vertical="top"/>
    </xf>
    <xf numFmtId="178" fontId="0" fillId="51" borderId="70" xfId="0" applyNumberFormat="1" applyFill="1" applyBorder="1" applyAlignment="1">
      <alignment horizontal="right" vertical="top"/>
    </xf>
    <xf numFmtId="178" fontId="0" fillId="51" borderId="71" xfId="0" applyNumberFormat="1" applyFill="1" applyBorder="1" applyAlignment="1">
      <alignment horizontal="right" vertical="top"/>
    </xf>
    <xf numFmtId="178" fontId="0" fillId="51" borderId="72" xfId="0" applyNumberFormat="1" applyFill="1" applyBorder="1" applyAlignment="1">
      <alignment horizontal="right" vertical="top"/>
    </xf>
    <xf numFmtId="172" fontId="0" fillId="3" borderId="115" xfId="0" applyNumberFormat="1" applyFill="1" applyBorder="1" applyAlignment="1">
      <alignment horizontal="right" vertical="top"/>
    </xf>
    <xf numFmtId="172" fontId="0" fillId="52" borderId="70" xfId="0" applyNumberFormat="1" applyFill="1" applyBorder="1" applyAlignment="1">
      <alignment horizontal="right" vertical="top"/>
    </xf>
    <xf numFmtId="172" fontId="0" fillId="52" borderId="71" xfId="0" applyNumberFormat="1" applyFill="1" applyBorder="1" applyAlignment="1">
      <alignment horizontal="right" vertical="top"/>
    </xf>
    <xf numFmtId="172" fontId="0" fillId="52" borderId="72" xfId="0" applyNumberFormat="1" applyFill="1" applyBorder="1" applyAlignment="1">
      <alignment horizontal="right" vertical="top"/>
    </xf>
    <xf numFmtId="172" fontId="0" fillId="52" borderId="70" xfId="0" applyNumberFormat="1" applyFill="1" applyBorder="1" applyAlignment="1">
      <alignment horizontal="right" vertical="center"/>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2" fontId="0" fillId="52" borderId="64" xfId="0" applyNumberFormat="1" applyFont="1" applyFill="1" applyBorder="1" applyAlignment="1">
      <alignment horizontal="right" vertical="center"/>
    </xf>
    <xf numFmtId="172" fontId="0" fillId="52" borderId="65" xfId="0" applyNumberFormat="1" applyFont="1" applyFill="1" applyBorder="1" applyAlignment="1">
      <alignment horizontal="right" vertical="center"/>
    </xf>
    <xf numFmtId="172" fontId="0" fillId="52" borderId="66" xfId="0" applyNumberFormat="1" applyFont="1" applyFill="1" applyBorder="1" applyAlignment="1">
      <alignment horizontal="right" vertical="center"/>
    </xf>
    <xf numFmtId="172" fontId="0" fillId="52" borderId="67" xfId="0" applyNumberFormat="1" applyFont="1" applyFill="1" applyBorder="1" applyAlignment="1">
      <alignment horizontal="right" vertical="center"/>
    </xf>
    <xf numFmtId="172" fontId="0" fillId="52" borderId="68" xfId="0" applyNumberFormat="1" applyFont="1" applyFill="1" applyBorder="1" applyAlignment="1">
      <alignment horizontal="right" vertical="center"/>
    </xf>
    <xf numFmtId="172" fontId="0" fillId="52" borderId="69" xfId="0" applyNumberFormat="1" applyFont="1" applyFill="1" applyBorder="1" applyAlignment="1">
      <alignment horizontal="right" vertical="center"/>
    </xf>
    <xf numFmtId="172" fontId="0" fillId="52" borderId="70" xfId="0" applyNumberFormat="1" applyFont="1" applyFill="1" applyBorder="1" applyAlignment="1">
      <alignment horizontal="right" vertical="center"/>
    </xf>
    <xf numFmtId="172" fontId="0" fillId="52" borderId="71" xfId="0" applyNumberFormat="1" applyFont="1" applyFill="1" applyBorder="1" applyAlignment="1">
      <alignment horizontal="right" vertical="center"/>
    </xf>
    <xf numFmtId="172" fontId="0" fillId="52" borderId="72" xfId="0" applyNumberFormat="1" applyFont="1" applyFill="1" applyBorder="1" applyAlignment="1">
      <alignment horizontal="right" vertical="center"/>
    </xf>
    <xf numFmtId="172" fontId="0" fillId="3" borderId="141"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5" fillId="38" borderId="140" xfId="1" applyNumberFormat="1" applyFont="1" applyFill="1" applyBorder="1" applyProtection="1"/>
    <xf numFmtId="172" fontId="0" fillId="0" borderId="135" xfId="0" applyNumberFormat="1" applyFill="1" applyBorder="1" applyAlignment="1">
      <alignment horizontal="right" vertical="top"/>
    </xf>
    <xf numFmtId="172" fontId="5" fillId="39" borderId="75" xfId="1" applyNumberFormat="1" applyFont="1" applyFill="1" applyBorder="1" applyProtection="1"/>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4"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1"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6"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1">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CCFFFF"/>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5" sqref="C5"/>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45" t="s">
        <v>299</v>
      </c>
      <c r="B1" s="846"/>
      <c r="C1" s="846"/>
      <c r="D1" s="847"/>
      <c r="E1" s="848"/>
      <c r="F1" s="846"/>
      <c r="G1" s="849"/>
      <c r="H1" s="846"/>
      <c r="I1" s="846"/>
      <c r="J1" s="846"/>
      <c r="K1" s="846"/>
    </row>
    <row r="2" spans="1:11" s="31" customFormat="1" ht="20.25">
      <c r="A2" s="845" t="str">
        <f>'RFPR cover'!C5</f>
        <v>SPD</v>
      </c>
      <c r="B2" s="846"/>
      <c r="C2" s="846"/>
      <c r="D2" s="848"/>
      <c r="E2" s="848"/>
      <c r="F2" s="846"/>
      <c r="G2" s="849"/>
      <c r="H2" s="846"/>
      <c r="I2" s="846"/>
      <c r="J2" s="846"/>
      <c r="K2" s="846"/>
    </row>
    <row r="3" spans="1:11" s="31" customFormat="1" ht="20.25">
      <c r="A3" s="845">
        <f>'RFPR cover'!C7</f>
        <v>2022</v>
      </c>
      <c r="B3" s="846"/>
      <c r="C3" s="846"/>
      <c r="D3" s="848"/>
      <c r="E3" s="848"/>
      <c r="F3" s="846"/>
      <c r="G3" s="849"/>
      <c r="H3" s="846"/>
      <c r="I3" s="846"/>
      <c r="J3" s="846"/>
      <c r="K3" s="846"/>
    </row>
    <row r="4" spans="1:11" ht="14.25">
      <c r="A4" s="30"/>
      <c r="B4" s="30"/>
      <c r="C4" s="30"/>
      <c r="D4" s="30"/>
      <c r="E4" s="30"/>
      <c r="H4" s="10"/>
      <c r="I4" s="10"/>
      <c r="J4" s="10"/>
    </row>
    <row r="5" spans="1:11" ht="13.5" customHeight="1">
      <c r="A5" s="30"/>
      <c r="B5" s="78" t="s">
        <v>59</v>
      </c>
      <c r="C5" s="45" t="s">
        <v>42</v>
      </c>
      <c r="D5" s="340"/>
      <c r="E5" s="19"/>
      <c r="F5" s="11"/>
      <c r="G5" s="544" t="s">
        <v>0</v>
      </c>
      <c r="H5" s="10"/>
      <c r="I5" s="10"/>
      <c r="J5" s="10"/>
    </row>
    <row r="6" spans="1:11" ht="13.5" customHeight="1">
      <c r="A6" s="30"/>
      <c r="B6" s="78" t="s">
        <v>182</v>
      </c>
      <c r="C6" s="83" t="str">
        <f>INDEX(Data!$A$73:$A$100,MATCH($C$5,Data!$B$73:$B$100,0),0)&amp;"1"</f>
        <v>ED1</v>
      </c>
      <c r="D6" s="19"/>
      <c r="E6" s="19"/>
      <c r="F6" s="9"/>
      <c r="G6" s="544" t="s">
        <v>1</v>
      </c>
      <c r="H6" s="10"/>
      <c r="I6" s="10"/>
      <c r="J6" s="10"/>
    </row>
    <row r="7" spans="1:11" ht="25.5">
      <c r="A7" s="30"/>
      <c r="B7" s="79" t="s">
        <v>181</v>
      </c>
      <c r="C7" s="84">
        <v>2022</v>
      </c>
      <c r="D7" s="18"/>
      <c r="E7" s="19"/>
      <c r="F7" s="8"/>
      <c r="G7" s="545" t="s">
        <v>2</v>
      </c>
      <c r="H7" s="10"/>
      <c r="I7" s="10"/>
      <c r="J7" s="10"/>
    </row>
    <row r="8" spans="1:11" ht="14.25">
      <c r="A8" s="30"/>
      <c r="B8" s="78" t="s">
        <v>34</v>
      </c>
      <c r="C8" s="85"/>
      <c r="D8" s="19"/>
      <c r="E8" s="18"/>
      <c r="F8" s="7"/>
      <c r="G8" s="544" t="s">
        <v>3</v>
      </c>
      <c r="H8" s="10"/>
      <c r="I8" s="10"/>
      <c r="J8" s="10"/>
    </row>
    <row r="9" spans="1:11" ht="14.25">
      <c r="A9" s="30"/>
      <c r="B9" s="78" t="s">
        <v>35</v>
      </c>
      <c r="C9" s="86"/>
      <c r="D9" s="18"/>
      <c r="E9" s="18"/>
      <c r="F9" s="6"/>
      <c r="G9" s="544" t="s">
        <v>4</v>
      </c>
      <c r="H9" s="10"/>
      <c r="I9" s="10"/>
      <c r="J9" s="10"/>
    </row>
    <row r="10" spans="1:11" ht="14.25">
      <c r="A10" s="30"/>
      <c r="B10" s="78" t="s">
        <v>67</v>
      </c>
      <c r="C10" s="87">
        <f>SUMIF(Data!$B$72:$B$100,C5,Data!$C$72:$C$100)</f>
        <v>0.06</v>
      </c>
      <c r="D10" s="18"/>
      <c r="E10" s="18"/>
      <c r="F10" s="5"/>
      <c r="G10" s="544" t="s">
        <v>5</v>
      </c>
      <c r="H10" s="10"/>
      <c r="I10" s="10"/>
      <c r="J10" s="10"/>
    </row>
    <row r="11" spans="1:11" ht="14.25">
      <c r="A11" s="30"/>
      <c r="B11" s="78" t="s">
        <v>68</v>
      </c>
      <c r="C11" s="88">
        <f>SUMIF(Data!$B$72:$B$100,C5,Data!$D$72:$D$100)</f>
        <v>0.53500000000000003</v>
      </c>
      <c r="D11" s="19"/>
      <c r="E11" s="19"/>
      <c r="F11" s="4"/>
      <c r="G11" s="544" t="s">
        <v>6</v>
      </c>
      <c r="H11" s="10"/>
      <c r="I11" s="10"/>
      <c r="J11" s="10"/>
    </row>
    <row r="12" spans="1:11">
      <c r="A12" s="30"/>
      <c r="B12" s="78" t="s">
        <v>112</v>
      </c>
      <c r="C12" s="87">
        <f>SUMIF(Data!$B$72:$B$100,C5,Data!$E$72:$E$100)</f>
        <v>0.65</v>
      </c>
      <c r="D12" s="18"/>
      <c r="E12" s="18"/>
      <c r="F12" s="18"/>
      <c r="G12" s="546"/>
    </row>
    <row r="13" spans="1:11">
      <c r="A13" s="30"/>
      <c r="B13" s="78" t="s">
        <v>493</v>
      </c>
      <c r="C13" s="83">
        <f>INDEX(Data!$G$73:$G$100,MATCH($C$5,Data!$B$73:$B$100,0),0)</f>
        <v>2016</v>
      </c>
      <c r="D13" s="18"/>
      <c r="E13" s="18"/>
      <c r="F13" s="77" t="s">
        <v>184</v>
      </c>
    </row>
    <row r="14" spans="1:11">
      <c r="A14" s="30"/>
      <c r="B14" s="80" t="s">
        <v>178</v>
      </c>
      <c r="C14" s="83" t="str">
        <f>INDEX(Data!$H$73:$H$100,MATCH($C$5,Data!$B$73:$B$100,0),0)</f>
        <v>£m 12/13</v>
      </c>
      <c r="D14" s="18"/>
      <c r="E14" s="18"/>
      <c r="F14" s="90">
        <v>0.1</v>
      </c>
      <c r="G14" s="546"/>
    </row>
    <row r="15" spans="1:11">
      <c r="A15" s="30"/>
      <c r="B15" s="18"/>
      <c r="C15" s="18"/>
      <c r="D15" s="18"/>
      <c r="E15" s="18"/>
      <c r="F15" s="18"/>
      <c r="G15" s="546"/>
    </row>
    <row r="85" spans="1:1">
      <c r="A85" s="205"/>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0" zoomScaleNormal="8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50" t="s">
        <v>365</v>
      </c>
      <c r="B1" s="851"/>
      <c r="C1" s="851"/>
      <c r="D1" s="851"/>
      <c r="E1" s="851"/>
      <c r="F1" s="851"/>
      <c r="G1" s="851"/>
      <c r="H1" s="851"/>
      <c r="I1" s="851"/>
      <c r="J1" s="851"/>
      <c r="K1" s="851"/>
      <c r="L1" s="851"/>
      <c r="M1" s="851"/>
      <c r="N1" s="852"/>
    </row>
    <row r="2" spans="1:14" ht="20.25">
      <c r="A2" s="853" t="str">
        <f>'RFPR cover'!C5</f>
        <v>SPD</v>
      </c>
      <c r="B2" s="854"/>
      <c r="C2" s="854"/>
      <c r="D2" s="854"/>
      <c r="E2" s="854"/>
      <c r="F2" s="854"/>
      <c r="G2" s="854"/>
      <c r="H2" s="854"/>
      <c r="I2" s="854"/>
      <c r="J2" s="854"/>
      <c r="K2" s="854"/>
      <c r="L2" s="854"/>
      <c r="M2" s="854"/>
      <c r="N2" s="855"/>
    </row>
    <row r="3" spans="1:14" ht="20.25">
      <c r="A3" s="856">
        <f>'RFPR cover'!C7</f>
        <v>2022</v>
      </c>
      <c r="B3" s="857"/>
      <c r="C3" s="857"/>
      <c r="D3" s="857"/>
      <c r="E3" s="857"/>
      <c r="F3" s="857"/>
      <c r="G3" s="857"/>
      <c r="H3" s="857"/>
      <c r="I3" s="857"/>
      <c r="J3" s="857"/>
      <c r="K3" s="857"/>
      <c r="L3" s="857"/>
      <c r="M3" s="857"/>
      <c r="N3" s="858"/>
    </row>
    <row r="6" spans="1:14">
      <c r="A6" s="30"/>
      <c r="B6" s="21">
        <v>2018</v>
      </c>
      <c r="C6" s="20" t="s">
        <v>60</v>
      </c>
      <c r="D6" s="18"/>
      <c r="E6" s="18"/>
      <c r="F6" s="794"/>
      <c r="G6" s="18"/>
    </row>
    <row r="7" spans="1:14">
      <c r="A7" s="30"/>
      <c r="B7" s="21">
        <v>2019</v>
      </c>
      <c r="C7" s="20" t="s">
        <v>61</v>
      </c>
      <c r="D7" s="18"/>
      <c r="E7" s="18"/>
      <c r="F7" s="18"/>
      <c r="G7" s="18"/>
    </row>
    <row r="8" spans="1:14">
      <c r="A8" s="30"/>
      <c r="B8" s="21">
        <v>2020</v>
      </c>
      <c r="C8" s="20" t="s">
        <v>62</v>
      </c>
      <c r="D8" s="19"/>
      <c r="E8" s="19"/>
      <c r="F8" s="19"/>
      <c r="G8" s="19"/>
    </row>
    <row r="9" spans="1:14">
      <c r="A9" s="30"/>
      <c r="B9" s="21">
        <v>2021</v>
      </c>
      <c r="C9" s="20" t="s">
        <v>63</v>
      </c>
      <c r="D9" s="18"/>
      <c r="E9" s="18"/>
      <c r="F9" s="18"/>
      <c r="G9" s="18"/>
    </row>
    <row r="10" spans="1:14">
      <c r="A10" s="30"/>
      <c r="B10" s="21">
        <v>2022</v>
      </c>
      <c r="C10" s="20" t="s">
        <v>64</v>
      </c>
      <c r="D10" s="18"/>
      <c r="E10" s="18"/>
      <c r="F10" s="18"/>
    </row>
    <row r="11" spans="1:14">
      <c r="A11" s="30"/>
      <c r="B11" s="21">
        <v>2023</v>
      </c>
      <c r="C11" s="20" t="s">
        <v>65</v>
      </c>
      <c r="D11" s="19"/>
      <c r="E11" s="19"/>
      <c r="F11" s="19"/>
    </row>
    <row r="12" spans="1:14">
      <c r="A12" s="30"/>
      <c r="B12" s="18"/>
      <c r="C12" s="18"/>
      <c r="D12" s="18"/>
      <c r="E12" s="18"/>
      <c r="F12" s="18"/>
    </row>
    <row r="13" spans="1:14" ht="75" customHeight="1">
      <c r="A13" s="30"/>
      <c r="B13" s="547" t="s">
        <v>36</v>
      </c>
      <c r="C13" s="548" t="s">
        <v>37</v>
      </c>
      <c r="D13" s="548" t="s">
        <v>185</v>
      </c>
      <c r="E13" s="548" t="s">
        <v>38</v>
      </c>
      <c r="F13" s="548" t="s">
        <v>39</v>
      </c>
      <c r="G13" s="549" t="s">
        <v>312</v>
      </c>
    </row>
    <row r="14" spans="1:14">
      <c r="A14" s="30"/>
      <c r="B14" s="163" t="s">
        <v>71</v>
      </c>
      <c r="C14" s="170">
        <v>2010</v>
      </c>
      <c r="D14" s="164" t="str">
        <f>IF(VALUE(C14)&lt;='RFPR cover'!$C$7,"Actual","Forecast")</f>
        <v>Actual</v>
      </c>
      <c r="E14" s="374">
        <v>215.767</v>
      </c>
      <c r="F14" s="496">
        <v>221.75</v>
      </c>
      <c r="G14" s="165">
        <v>0.28000000000000003</v>
      </c>
      <c r="H14" s="795"/>
      <c r="J14" s="796"/>
    </row>
    <row r="15" spans="1:14">
      <c r="A15" s="30"/>
      <c r="B15" s="166" t="s">
        <v>72</v>
      </c>
      <c r="C15" s="171">
        <v>2011</v>
      </c>
      <c r="D15" s="167" t="str">
        <f>IF(VALUE(C15)&lt;='RFPR cover'!$C$7,"Actual","Forecast")</f>
        <v>Actual</v>
      </c>
      <c r="E15" s="375">
        <v>226.47499999999999</v>
      </c>
      <c r="F15" s="497">
        <v>233.45</v>
      </c>
      <c r="G15" s="168">
        <v>0.28000000000000003</v>
      </c>
      <c r="H15" s="795"/>
      <c r="J15" s="796"/>
    </row>
    <row r="16" spans="1:14" ht="14.25" customHeight="1">
      <c r="A16" s="30"/>
      <c r="B16" s="166" t="s">
        <v>73</v>
      </c>
      <c r="C16" s="171">
        <v>2012</v>
      </c>
      <c r="D16" s="167" t="str">
        <f>IF(VALUE(C16)&lt;='RFPR cover'!$C$7,"Actual","Forecast")</f>
        <v>Actual</v>
      </c>
      <c r="E16" s="375">
        <v>237.34200000000001</v>
      </c>
      <c r="F16" s="497">
        <v>241.65</v>
      </c>
      <c r="G16" s="168">
        <v>0.26</v>
      </c>
      <c r="H16" s="795"/>
      <c r="J16" s="796"/>
    </row>
    <row r="17" spans="2:10">
      <c r="B17" s="166" t="s">
        <v>74</v>
      </c>
      <c r="C17" s="171">
        <v>2013</v>
      </c>
      <c r="D17" s="167" t="str">
        <f>IF(VALUE(C17)&lt;='RFPR cover'!$C$7,"Actual","Forecast")</f>
        <v>Actual</v>
      </c>
      <c r="E17" s="375">
        <v>244.67500000000001</v>
      </c>
      <c r="F17" s="497">
        <v>249.1</v>
      </c>
      <c r="G17" s="168">
        <v>0.24</v>
      </c>
      <c r="H17" s="795"/>
      <c r="J17" s="796"/>
    </row>
    <row r="18" spans="2:10">
      <c r="B18" s="166" t="s">
        <v>75</v>
      </c>
      <c r="C18" s="171">
        <v>2014</v>
      </c>
      <c r="D18" s="167" t="str">
        <f>IF(VALUE(C18)&lt;='RFPR cover'!$C$7,"Actual","Forecast")</f>
        <v>Actual</v>
      </c>
      <c r="E18" s="375">
        <v>251.733</v>
      </c>
      <c r="F18" s="497">
        <v>255.25</v>
      </c>
      <c r="G18" s="168">
        <v>0.23</v>
      </c>
      <c r="H18" s="795"/>
      <c r="I18" s="515"/>
      <c r="J18" s="796"/>
    </row>
    <row r="19" spans="2:10">
      <c r="B19" s="166" t="s">
        <v>76</v>
      </c>
      <c r="C19" s="171">
        <v>2015</v>
      </c>
      <c r="D19" s="167" t="str">
        <f>IF(VALUE(C19)&lt;='RFPR cover'!$C$7,"Actual","Forecast")</f>
        <v>Actual</v>
      </c>
      <c r="E19" s="375">
        <v>256.66699999999997</v>
      </c>
      <c r="F19" s="497">
        <v>257.55</v>
      </c>
      <c r="G19" s="168">
        <v>0.21</v>
      </c>
      <c r="H19" s="795"/>
      <c r="I19" s="515"/>
      <c r="J19" s="796"/>
    </row>
    <row r="20" spans="2:10">
      <c r="B20" s="166" t="s">
        <v>77</v>
      </c>
      <c r="C20" s="171">
        <v>2016</v>
      </c>
      <c r="D20" s="167" t="str">
        <f>IF(VALUE(C20)&lt;='RFPR cover'!$C$7,"Actual","Forecast")</f>
        <v>Actual</v>
      </c>
      <c r="E20" s="375">
        <v>259.43299999999999</v>
      </c>
      <c r="F20" s="497">
        <v>261.25</v>
      </c>
      <c r="G20" s="168">
        <v>0.2</v>
      </c>
      <c r="H20" s="795"/>
      <c r="I20" s="515"/>
      <c r="J20" s="796"/>
    </row>
    <row r="21" spans="2:10">
      <c r="B21" s="166" t="s">
        <v>78</v>
      </c>
      <c r="C21" s="171">
        <v>2017</v>
      </c>
      <c r="D21" s="167" t="str">
        <f>IF(VALUE(C21)&lt;='RFPR cover'!$C$7,"Actual","Forecast")</f>
        <v>Actual</v>
      </c>
      <c r="E21" s="375">
        <v>264.99200000000002</v>
      </c>
      <c r="F21" s="497">
        <v>269.95000000000005</v>
      </c>
      <c r="G21" s="168">
        <v>0.2</v>
      </c>
      <c r="H21" s="795"/>
      <c r="I21" s="515"/>
      <c r="J21" s="796"/>
    </row>
    <row r="22" spans="2:10">
      <c r="B22" s="166" t="s">
        <v>60</v>
      </c>
      <c r="C22" s="171">
        <v>2018</v>
      </c>
      <c r="D22" s="167" t="str">
        <f>IF(VALUE(C22)&lt;='RFPR cover'!$C$7,"Actual","Forecast")</f>
        <v>Actual</v>
      </c>
      <c r="E22" s="375">
        <v>274.90800000000002</v>
      </c>
      <c r="F22" s="497">
        <v>279</v>
      </c>
      <c r="G22" s="168">
        <v>0.19</v>
      </c>
      <c r="H22" s="795"/>
      <c r="I22" s="515"/>
      <c r="J22" s="796"/>
    </row>
    <row r="23" spans="2:10">
      <c r="B23" s="498" t="s">
        <v>61</v>
      </c>
      <c r="C23" s="499">
        <v>2019</v>
      </c>
      <c r="D23" s="167" t="str">
        <f>IF(VALUE(C23)&lt;='RFPR cover'!$C$7,"Actual","Forecast")</f>
        <v>Actual</v>
      </c>
      <c r="E23" s="375">
        <v>283.30799999999999</v>
      </c>
      <c r="F23" s="497">
        <v>286.64999999999998</v>
      </c>
      <c r="G23" s="168">
        <v>0.19</v>
      </c>
      <c r="H23" s="795"/>
      <c r="J23" s="796"/>
    </row>
    <row r="24" spans="2:10">
      <c r="B24" s="498" t="s">
        <v>62</v>
      </c>
      <c r="C24" s="499">
        <v>2020</v>
      </c>
      <c r="D24" s="167" t="str">
        <f>IF(VALUE(C24)&lt;='RFPR cover'!$C$7,"Actual","Forecast")</f>
        <v>Actual</v>
      </c>
      <c r="E24" s="375">
        <v>290.642</v>
      </c>
      <c r="F24" s="375">
        <v>292.60000000000002</v>
      </c>
      <c r="G24" s="168">
        <v>0.19</v>
      </c>
    </row>
    <row r="25" spans="2:10">
      <c r="B25" s="498" t="s">
        <v>63</v>
      </c>
      <c r="C25" s="499">
        <v>2021</v>
      </c>
      <c r="D25" s="167" t="str">
        <f>IF(VALUE(C25)&lt;='RFPR cover'!$C$7,"Actual","Forecast")</f>
        <v>Actual</v>
      </c>
      <c r="E25" s="375">
        <v>294.16666666666669</v>
      </c>
      <c r="F25" s="375">
        <v>299</v>
      </c>
      <c r="G25" s="168">
        <v>0.19</v>
      </c>
      <c r="J25" s="796"/>
    </row>
    <row r="26" spans="2:10">
      <c r="B26" s="498" t="s">
        <v>64</v>
      </c>
      <c r="C26" s="499">
        <v>2022</v>
      </c>
      <c r="D26" s="167" t="str">
        <f>IF(VALUE(C26)&lt;='RFPR cover'!$C$7,"Actual","Forecast")</f>
        <v>Actual</v>
      </c>
      <c r="E26" s="375">
        <v>311.1583333333333</v>
      </c>
      <c r="F26" s="375">
        <v>329.05</v>
      </c>
      <c r="G26" s="168">
        <v>0.19</v>
      </c>
      <c r="H26" s="898"/>
      <c r="J26" s="796"/>
    </row>
    <row r="27" spans="2:10">
      <c r="B27" s="498" t="s">
        <v>65</v>
      </c>
      <c r="C27" s="499">
        <v>2023</v>
      </c>
      <c r="D27" s="167" t="str">
        <f>IF(VALUE(C27)&lt;='RFPR cover'!$C$7,"Actual","Forecast")</f>
        <v>Forecast</v>
      </c>
      <c r="E27" s="894">
        <f>E26*(1+INDEX($D$43:$J$43,0,MATCH($C27,$D$42:$J$42,0)))</f>
        <v>336.98447499999997</v>
      </c>
      <c r="F27" s="894">
        <f>F26*(1+INDEX($D$43:$J$43,0,MATCH($C27,$D$42:$J$42,0)))</f>
        <v>356.36115000000001</v>
      </c>
      <c r="G27" s="168">
        <v>0.19</v>
      </c>
      <c r="H27" s="795"/>
      <c r="J27" s="796"/>
    </row>
    <row r="28" spans="2:10">
      <c r="B28" s="498" t="s">
        <v>198</v>
      </c>
      <c r="C28" s="499">
        <v>2024</v>
      </c>
      <c r="D28" s="167" t="str">
        <f>IF(VALUE(C28)&lt;='RFPR cover'!$C$7,"Actual","Forecast")</f>
        <v>Forecast</v>
      </c>
      <c r="E28" s="377"/>
      <c r="F28" s="377"/>
      <c r="G28" s="168">
        <v>0.19</v>
      </c>
    </row>
    <row r="29" spans="2:10">
      <c r="B29" s="498" t="s">
        <v>199</v>
      </c>
      <c r="C29" s="499">
        <v>2025</v>
      </c>
      <c r="D29" s="167" t="str">
        <f>IF(VALUE(C29)&lt;='RFPR cover'!$C$7,"Actual","Forecast")</f>
        <v>Forecast</v>
      </c>
      <c r="E29" s="377"/>
      <c r="F29" s="377"/>
      <c r="G29" s="168">
        <v>0.19</v>
      </c>
    </row>
    <row r="30" spans="2:10">
      <c r="B30" s="500" t="s">
        <v>200</v>
      </c>
      <c r="C30" s="501">
        <v>2026</v>
      </c>
      <c r="D30" s="169" t="str">
        <f>IF(VALUE(C30)&lt;='RFPR cover'!$C$7,"Actual","Forecast")</f>
        <v>Forecast</v>
      </c>
      <c r="E30" s="376"/>
      <c r="F30" s="376"/>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Actuals</v>
      </c>
      <c r="J32" s="346" t="str">
        <f>IF(J33&lt;='RFPR cover'!$C$7,"Actuals","Forecast")</f>
        <v>Forecast</v>
      </c>
    </row>
    <row r="33" spans="2:14" ht="15.75" customHeight="1">
      <c r="B33" s="290"/>
      <c r="C33" s="91">
        <f>'RFPR cover'!$C$13</f>
        <v>2016</v>
      </c>
      <c r="D33" s="92">
        <f t="shared" ref="D33:J33" si="0">C33+1</f>
        <v>2017</v>
      </c>
      <c r="E33" s="92">
        <f t="shared" si="0"/>
        <v>2018</v>
      </c>
      <c r="F33" s="92">
        <f t="shared" si="0"/>
        <v>2019</v>
      </c>
      <c r="G33" s="92">
        <f t="shared" si="0"/>
        <v>2020</v>
      </c>
      <c r="H33" s="92">
        <f t="shared" si="0"/>
        <v>2021</v>
      </c>
      <c r="I33" s="92">
        <f t="shared" si="0"/>
        <v>2022</v>
      </c>
      <c r="J33" s="317">
        <f t="shared" si="0"/>
        <v>2023</v>
      </c>
    </row>
    <row r="34" spans="2:14" ht="15.75" customHeight="1">
      <c r="B34" s="494" t="s">
        <v>366</v>
      </c>
      <c r="C34" s="492">
        <f>INDEX(Data!$E$14:$E$30,MATCH(C$33,Data!$C$14:$C$30,0),0)/IF('RFPR cover'!$C$6="ED1",Data!$E$17,Data!$E$14)</f>
        <v>1.0603167467048125</v>
      </c>
      <c r="D34" s="489">
        <f>INDEX(Data!$E$14:$E$30,MATCH(D$33,Data!$C$14:$C$30,0),0)/IF('RFPR cover'!$C$6="ED1",Data!$E$17,Data!$E$14)</f>
        <v>1.0830366813119445</v>
      </c>
      <c r="E34" s="489">
        <f>INDEX(Data!$E$14:$E$30,MATCH(E$33,Data!$C$14:$C$30,0),0)/IF('RFPR cover'!$C$6="ED1",Data!$E$17,Data!$E$14)</f>
        <v>1.1235639113109226</v>
      </c>
      <c r="F34" s="489">
        <f>INDEX(Data!$E$14:$E$30,MATCH(F$33,Data!$C$14:$C$30,0),0)/IF('RFPR cover'!$C$6="ED1",Data!$E$17,Data!$E$14)</f>
        <v>1.1578951670583426</v>
      </c>
      <c r="G34" s="489">
        <f>INDEX(Data!$E$14:$E$30,MATCH(G$33,Data!$C$14:$C$30,0),0)/IF('RFPR cover'!$C$6="ED1",Data!$E$17,Data!$E$14)</f>
        <v>1.1878696229692449</v>
      </c>
      <c r="H34" s="489">
        <f>INDEX(Data!$E$14:$E$30,MATCH(H$33,Data!$C$14:$C$30,0),0)/IF('RFPR cover'!$C$6="ED1",Data!$E$17,Data!$E$14)</f>
        <v>1.202275126868976</v>
      </c>
      <c r="I34" s="490">
        <f>INDEX(Data!$E$14:$E$30,MATCH(I$33,Data!$C$14:$C$30,0),0)/IF('RFPR cover'!$C$6="ED1",Data!$E$17,Data!$E$14)</f>
        <v>1.2717209904294811</v>
      </c>
      <c r="J34" s="491">
        <f>INDEX(Data!$E$14:$E$30,MATCH(J$33,Data!$C$14:$C$30,0),0)/IF('RFPR cover'!$C$6="ED1",Data!$E$17,Data!$E$14)</f>
        <v>1.3772738326351281</v>
      </c>
    </row>
    <row r="35" spans="2:14" ht="15.75" customHeight="1">
      <c r="B35" s="495" t="s">
        <v>39</v>
      </c>
      <c r="C35" s="493">
        <f>INDEX(Data!$F$14:$F$30,MATCH(C$33,Data!$C$14:$C$30,0),0)/IF('RFPR cover'!$C$6="ED1",Data!$E$17,Data!$E$14)</f>
        <v>1.0677429242873198</v>
      </c>
      <c r="D35" s="493">
        <f>INDEX(Data!$F$14:$F$30,MATCH(D$33,Data!$C$14:$C$30,0),0)/IF('RFPR cover'!$C$6="ED1",Data!$E$17,Data!$E$14)</f>
        <v>1.1033002963114336</v>
      </c>
      <c r="E35" s="493">
        <f>INDEX(Data!$F$14:$F$30,MATCH(E$33,Data!$C$14:$C$30,0),0)/IF('RFPR cover'!$C$6="ED1",Data!$E$17,Data!$E$14)</f>
        <v>1.1402881373250229</v>
      </c>
      <c r="F35" s="493">
        <f>INDEX(Data!$F$14:$F$30,MATCH(F$33,Data!$C$14:$C$30,0),0)/IF('RFPR cover'!$C$6="ED1",Data!$E$17,Data!$E$14)</f>
        <v>1.171554102380709</v>
      </c>
      <c r="G35" s="493">
        <f>INDEX(Data!$F$14:$F$30,MATCH(G$33,Data!$C$14:$C$30,0),0)/IF('RFPR cover'!$C$6="ED1",Data!$E$17,Data!$E$14)</f>
        <v>1.1958720752017984</v>
      </c>
      <c r="H35" s="493">
        <f>INDEX(Data!$F$14:$F$30,MATCH(H$33,Data!$C$14:$C$30,0),0)/IF('RFPR cover'!$C$6="ED1",Data!$E$17,Data!$E$14)</f>
        <v>1.2220292224379279</v>
      </c>
      <c r="I35" s="493">
        <f>INDEX(Data!$F$14:$F$30,MATCH(I$33,Data!$C$14:$C$30,0),0)/IF('RFPR cover'!$C$6="ED1",Data!$E$17,Data!$E$14)</f>
        <v>1.3448452028200675</v>
      </c>
      <c r="J35" s="493">
        <f>INDEX(Data!$F$14:$F$30,MATCH(J$33,Data!$C$14:$C$30,0),0)/IF('RFPR cover'!$C$6="ED1",Data!$E$17,Data!$E$14)</f>
        <v>1.4564673546541329</v>
      </c>
      <c r="L35" s="897"/>
    </row>
    <row r="36" spans="2:14">
      <c r="B36" s="495" t="s">
        <v>489</v>
      </c>
      <c r="C36" s="493">
        <f>INDEX(Data!$E$14:$E$30,MATCH(C$33,Data!$C$14:$C$30,0))/INDEX(Data!$E$14:$E$30,MATCH(C$33-1,Data!$C$14:$C$30,0))</f>
        <v>1.0107766093810269</v>
      </c>
      <c r="D36" s="493">
        <f>INDEX(Data!$E$14:$E$30,MATCH(D$33,Data!$C$14:$C$30,0))/INDEX(Data!$E$14:$E$30,MATCH(D$33-1,Data!$C$14:$C$30,0))</f>
        <v>1.0214274976583551</v>
      </c>
      <c r="E36" s="493">
        <f>INDEX(Data!$E$14:$E$30,MATCH(E$33,Data!$C$14:$C$30,0))/INDEX(Data!$E$14:$E$30,MATCH(E$33-1,Data!$C$14:$C$30,0))</f>
        <v>1.0374199975848328</v>
      </c>
      <c r="F36" s="493">
        <f>INDEX(Data!$E$14:$E$30,MATCH(F$33,Data!$C$14:$C$30,0))/INDEX(Data!$E$14:$E$30,MATCH(F$33-1,Data!$C$14:$C$30,0))</f>
        <v>1.0305556768082411</v>
      </c>
      <c r="G36" s="493">
        <f>INDEX(Data!$E$14:$E$30,MATCH(G$33,Data!$C$14:$C$30,0))/INDEX(Data!$E$14:$E$30,MATCH(G$33-1,Data!$C$14:$C$30,0))</f>
        <v>1.0258870204865376</v>
      </c>
      <c r="H36" s="493">
        <f>INDEX(Data!$E$14:$E$30,MATCH(H$33,Data!$C$14:$C$30,0))/INDEX(Data!$E$14:$E$30,MATCH(H$33-1,Data!$C$14:$C$30,0))</f>
        <v>1.0121271759300676</v>
      </c>
      <c r="I36" s="493">
        <f>INDEX(Data!$E$14:$E$30,MATCH(I$33,Data!$C$14:$C$30,0))/INDEX(Data!$E$14:$E$30,MATCH(I$33-1,Data!$C$14:$C$30,0))</f>
        <v>1.0577620396600564</v>
      </c>
      <c r="J36" s="493">
        <f>INDEX(Data!$E$14:$E$30,MATCH(J$33,Data!$C$14:$C$30,0))/INDEX(Data!$E$14:$E$30,MATCH(J$33-1,Data!$C$14:$C$30,0))</f>
        <v>1.083</v>
      </c>
    </row>
    <row r="37" spans="2:14" ht="15.75" customHeight="1">
      <c r="B37" s="14" t="s">
        <v>267</v>
      </c>
      <c r="F37" s="515"/>
    </row>
    <row r="38" spans="2:14">
      <c r="C38" s="508" t="s">
        <v>268</v>
      </c>
      <c r="D38" s="118">
        <v>2017</v>
      </c>
      <c r="E38" s="119">
        <f t="shared" ref="E38:J38" si="1">D38+1</f>
        <v>2018</v>
      </c>
      <c r="F38" s="119">
        <f t="shared" si="1"/>
        <v>2019</v>
      </c>
      <c r="G38" s="119">
        <f t="shared" si="1"/>
        <v>2020</v>
      </c>
      <c r="H38" s="119">
        <f t="shared" si="1"/>
        <v>2021</v>
      </c>
      <c r="I38" s="119">
        <f t="shared" si="1"/>
        <v>2022</v>
      </c>
      <c r="J38" s="196">
        <f t="shared" si="1"/>
        <v>2023</v>
      </c>
      <c r="K38" s="1027" t="s">
        <v>376</v>
      </c>
      <c r="L38" s="1027"/>
      <c r="M38" s="1027"/>
    </row>
    <row r="39" spans="2:14">
      <c r="B39" t="s">
        <v>377</v>
      </c>
      <c r="C39" s="201"/>
      <c r="D39" s="717"/>
      <c r="E39" s="717"/>
      <c r="F39" s="717"/>
      <c r="G39" s="717"/>
      <c r="H39" s="717"/>
      <c r="I39" s="718">
        <v>9.0999999999999998E-2</v>
      </c>
      <c r="J39" s="719">
        <v>5.8999999999999997E-2</v>
      </c>
      <c r="K39" s="1028" t="s">
        <v>573</v>
      </c>
      <c r="L39" s="1028"/>
      <c r="M39" s="1028"/>
      <c r="N39" s="898"/>
    </row>
    <row r="41" spans="2:14">
      <c r="B41" s="14" t="s">
        <v>269</v>
      </c>
    </row>
    <row r="42" spans="2:14">
      <c r="C42" s="507" t="s">
        <v>270</v>
      </c>
      <c r="D42" s="118">
        <v>2017</v>
      </c>
      <c r="E42" s="119">
        <f t="shared" ref="E42:J42" si="2">D42+1</f>
        <v>2018</v>
      </c>
      <c r="F42" s="119">
        <f t="shared" si="2"/>
        <v>2019</v>
      </c>
      <c r="G42" s="119">
        <f t="shared" si="2"/>
        <v>2020</v>
      </c>
      <c r="H42" s="119">
        <f t="shared" si="2"/>
        <v>2021</v>
      </c>
      <c r="I42" s="119">
        <f t="shared" si="2"/>
        <v>2022</v>
      </c>
      <c r="J42" s="196">
        <f t="shared" si="2"/>
        <v>2023</v>
      </c>
    </row>
    <row r="43" spans="2:14">
      <c r="B43" t="s">
        <v>271</v>
      </c>
      <c r="D43" s="566"/>
      <c r="E43" s="567"/>
      <c r="F43" s="567"/>
      <c r="G43" s="567"/>
      <c r="H43" s="567"/>
      <c r="I43" s="567"/>
      <c r="J43" s="720">
        <f>(I39*0.75)+(J39*0.25)</f>
        <v>8.3000000000000004E-2</v>
      </c>
    </row>
    <row r="45" spans="2:14">
      <c r="B45" s="316" t="str">
        <f>"Selected Capitalisation rates for "&amp;'RFPR cover'!C5</f>
        <v>Selected Capitalisation rates for SPD</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245</v>
      </c>
      <c r="D47" s="42"/>
      <c r="E47" s="42"/>
      <c r="F47" s="42"/>
      <c r="G47" s="42"/>
      <c r="H47" s="42"/>
      <c r="I47" s="42"/>
      <c r="J47" s="42"/>
      <c r="K47" s="42"/>
      <c r="L47" s="42"/>
      <c r="M47" s="203"/>
    </row>
    <row r="48" spans="2:14">
      <c r="B48" s="318" t="str">
        <f>INDEX($G$54:$G$57,MATCH(LEFT('RFPR cover'!$C$6,2),Data!$E$54:$E$57,0),0)</f>
        <v>Totex</v>
      </c>
      <c r="C48" s="314">
        <f>INDEX($F$73:$F$100,MATCH('RFPR cover'!$C$5,Data!$B$73:$B$100,0),0)</f>
        <v>0.8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3">C50+1</f>
        <v>2015</v>
      </c>
      <c r="E50" s="92">
        <f t="shared" si="3"/>
        <v>2016</v>
      </c>
      <c r="F50" s="92">
        <f t="shared" si="3"/>
        <v>2017</v>
      </c>
      <c r="G50" s="92">
        <f t="shared" si="3"/>
        <v>2018</v>
      </c>
      <c r="H50" s="92">
        <f t="shared" si="3"/>
        <v>2019</v>
      </c>
      <c r="I50" s="92">
        <f t="shared" si="3"/>
        <v>2020</v>
      </c>
      <c r="J50" s="92">
        <f t="shared" si="3"/>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165</v>
      </c>
      <c r="F54" s="332" t="s">
        <v>156</v>
      </c>
      <c r="G54" s="1032" t="s">
        <v>246</v>
      </c>
      <c r="H54" s="1033"/>
      <c r="I54" s="1034"/>
      <c r="J54" s="1041" t="s">
        <v>248</v>
      </c>
      <c r="K54" s="1042"/>
    </row>
    <row r="55" spans="2:20">
      <c r="B55" s="306"/>
      <c r="C55" s="306"/>
      <c r="E55" s="304" t="s">
        <v>167</v>
      </c>
      <c r="F55" s="333" t="s">
        <v>177</v>
      </c>
      <c r="G55" s="1035" t="s">
        <v>246</v>
      </c>
      <c r="H55" s="1036"/>
      <c r="I55" s="1037"/>
      <c r="J55" s="1043" t="s">
        <v>248</v>
      </c>
      <c r="K55" s="1044"/>
    </row>
    <row r="56" spans="2:20">
      <c r="B56" s="306"/>
      <c r="C56" s="306"/>
      <c r="E56" s="304" t="s">
        <v>166</v>
      </c>
      <c r="F56" s="333" t="s">
        <v>177</v>
      </c>
      <c r="G56" s="1035" t="s">
        <v>237</v>
      </c>
      <c r="H56" s="1036"/>
      <c r="I56" s="1037"/>
      <c r="J56" s="1043" t="s">
        <v>238</v>
      </c>
      <c r="K56" s="1044"/>
    </row>
    <row r="57" spans="2:20">
      <c r="B57" s="306"/>
      <c r="C57" s="306"/>
      <c r="E57" s="305" t="s">
        <v>168</v>
      </c>
      <c r="F57" s="334" t="s">
        <v>177</v>
      </c>
      <c r="G57" s="1038" t="s">
        <v>247</v>
      </c>
      <c r="H57" s="1039"/>
      <c r="I57" s="1040"/>
      <c r="J57" s="1045" t="s">
        <v>249</v>
      </c>
      <c r="K57" s="1046"/>
    </row>
    <row r="58" spans="2:20">
      <c r="B58" s="306"/>
      <c r="C58" s="306"/>
      <c r="E58" s="306"/>
      <c r="F58" s="446"/>
      <c r="G58" s="447"/>
      <c r="H58" s="447"/>
      <c r="I58" s="447"/>
      <c r="J58" s="448"/>
      <c r="K58" s="448"/>
    </row>
    <row r="59" spans="2:20">
      <c r="B59" s="449"/>
      <c r="C59" s="449"/>
      <c r="D59" s="218"/>
      <c r="E59" s="449"/>
      <c r="F59" s="450"/>
      <c r="G59" s="451"/>
      <c r="H59" s="451"/>
      <c r="I59" s="451"/>
      <c r="J59" s="452"/>
      <c r="K59" s="452"/>
      <c r="L59" s="218"/>
      <c r="M59" s="218"/>
      <c r="N59" s="218"/>
      <c r="O59" s="218"/>
      <c r="P59" s="218"/>
      <c r="Q59" s="218"/>
      <c r="R59" s="218"/>
      <c r="S59" s="218"/>
      <c r="T59" s="218"/>
    </row>
    <row r="60" spans="2:20" s="31" customFormat="1">
      <c r="B60" s="400"/>
      <c r="C60" s="400"/>
      <c r="E60" s="400"/>
      <c r="F60" s="453"/>
      <c r="G60" s="454"/>
      <c r="H60" s="454"/>
      <c r="I60" s="454"/>
      <c r="J60" s="455"/>
      <c r="K60" s="455"/>
    </row>
    <row r="61" spans="2:20">
      <c r="B61" s="445" t="s">
        <v>343</v>
      </c>
      <c r="C61" s="43"/>
      <c r="I61" s="67"/>
    </row>
    <row r="62" spans="2:20">
      <c r="C62" s="118">
        <v>2014</v>
      </c>
      <c r="D62" s="119">
        <f t="shared" ref="D62:L62" si="4">C62+1</f>
        <v>2015</v>
      </c>
      <c r="E62" s="119">
        <f t="shared" si="4"/>
        <v>2016</v>
      </c>
      <c r="F62" s="119">
        <f t="shared" si="4"/>
        <v>2017</v>
      </c>
      <c r="G62" s="119">
        <f t="shared" si="4"/>
        <v>2018</v>
      </c>
      <c r="H62" s="119">
        <f t="shared" si="4"/>
        <v>2019</v>
      </c>
      <c r="I62" s="119">
        <f t="shared" si="4"/>
        <v>2020</v>
      </c>
      <c r="J62" s="119">
        <f t="shared" si="4"/>
        <v>2021</v>
      </c>
      <c r="K62" s="119">
        <f t="shared" si="4"/>
        <v>2022</v>
      </c>
      <c r="L62" s="196">
        <f t="shared" si="4"/>
        <v>2023</v>
      </c>
    </row>
    <row r="63" spans="2:20">
      <c r="B63" s="442" t="s">
        <v>341</v>
      </c>
      <c r="C63" s="562"/>
      <c r="D63" s="563"/>
      <c r="E63" s="440">
        <v>2.5499999999999998E-2</v>
      </c>
      <c r="F63" s="440">
        <v>2.3799999999999998E-2</v>
      </c>
      <c r="G63" s="440">
        <v>2.2200000000000001E-2</v>
      </c>
      <c r="H63" s="440">
        <v>1.9099999999999999E-2</v>
      </c>
      <c r="I63" s="440">
        <v>1.5800000000000002E-2</v>
      </c>
      <c r="J63" s="440">
        <v>1.09E-2</v>
      </c>
      <c r="K63" s="440">
        <v>7.6E-3</v>
      </c>
      <c r="L63" s="441">
        <v>4.4000000000000003E-3</v>
      </c>
    </row>
    <row r="64" spans="2:20">
      <c r="B64" s="443" t="s">
        <v>328</v>
      </c>
      <c r="C64" s="550"/>
      <c r="D64" s="551"/>
      <c r="E64" s="402">
        <v>2.5499999999999998E-2</v>
      </c>
      <c r="F64" s="402">
        <v>2.4199999999999999E-2</v>
      </c>
      <c r="G64" s="402">
        <v>2.29E-2</v>
      </c>
      <c r="H64" s="402">
        <v>2.0899999999999998E-2</v>
      </c>
      <c r="I64" s="402">
        <v>1.9400000000000001E-2</v>
      </c>
      <c r="J64" s="402">
        <v>1.78E-2</v>
      </c>
      <c r="K64" s="402">
        <v>1.6199999999999999E-2</v>
      </c>
      <c r="L64" s="405">
        <v>1.47E-2</v>
      </c>
    </row>
    <row r="65" spans="1:20">
      <c r="B65" s="443" t="s">
        <v>58</v>
      </c>
      <c r="C65" s="401">
        <v>2.92E-2</v>
      </c>
      <c r="D65" s="402">
        <v>2.5000000000000001E-2</v>
      </c>
      <c r="E65" s="402">
        <v>2.1499999999999998E-2</v>
      </c>
      <c r="F65" s="402">
        <v>1.7899999999999999E-2</v>
      </c>
      <c r="G65" s="402">
        <v>1.5100000000000001E-2</v>
      </c>
      <c r="H65" s="402">
        <v>1.1599999999999999E-2</v>
      </c>
      <c r="I65" s="402">
        <v>1.0200000000000001E-2</v>
      </c>
      <c r="J65" s="402">
        <v>7.6E-3</v>
      </c>
      <c r="K65" s="564"/>
      <c r="L65" s="565"/>
    </row>
    <row r="66" spans="1:20">
      <c r="B66" s="443" t="s">
        <v>342</v>
      </c>
      <c r="C66" s="438">
        <v>2.92E-2</v>
      </c>
      <c r="D66" s="439">
        <v>2.7199999999999998E-2</v>
      </c>
      <c r="E66" s="439">
        <v>2.5499999999999998E-2</v>
      </c>
      <c r="F66" s="439">
        <v>2.3800000000000002E-2</v>
      </c>
      <c r="G66" s="439">
        <v>2.2200000000000001E-2</v>
      </c>
      <c r="H66" s="439">
        <v>1.9099999999999999E-2</v>
      </c>
      <c r="I66" s="439">
        <v>1.5800000000000002E-2</v>
      </c>
      <c r="J66" s="439">
        <v>1.09E-2</v>
      </c>
      <c r="K66" s="551"/>
      <c r="L66" s="552"/>
    </row>
    <row r="67" spans="1:20">
      <c r="B67" s="443" t="s">
        <v>166</v>
      </c>
      <c r="C67" s="401">
        <v>2.92E-2</v>
      </c>
      <c r="D67" s="402">
        <v>2.7199999999999998E-2</v>
      </c>
      <c r="E67" s="402">
        <v>2.5499999999999998E-2</v>
      </c>
      <c r="F67" s="402">
        <v>2.3800000000000002E-2</v>
      </c>
      <c r="G67" s="402">
        <v>2.2200000000000001E-2</v>
      </c>
      <c r="H67" s="439">
        <v>1.9099999999999999E-2</v>
      </c>
      <c r="I67" s="439">
        <v>1.5800000000000002E-2</v>
      </c>
      <c r="J67" s="439">
        <v>1.09E-2</v>
      </c>
      <c r="K67" s="551"/>
      <c r="L67" s="552"/>
    </row>
    <row r="68" spans="1:20">
      <c r="B68" s="444" t="s">
        <v>168</v>
      </c>
      <c r="C68" s="403">
        <v>2.92E-2</v>
      </c>
      <c r="D68" s="404">
        <v>2.7199999999999998E-2</v>
      </c>
      <c r="E68" s="404">
        <v>2.5499999999999998E-2</v>
      </c>
      <c r="F68" s="404">
        <v>2.3800000000000002E-2</v>
      </c>
      <c r="G68" s="404">
        <v>2.2200000000000001E-2</v>
      </c>
      <c r="H68" s="404">
        <v>1.9099999999999999E-2</v>
      </c>
      <c r="I68" s="404">
        <v>1.5800000000000002E-2</v>
      </c>
      <c r="J68" s="404">
        <v>1.09E-2</v>
      </c>
      <c r="K68" s="553"/>
      <c r="L68" s="554"/>
    </row>
    <row r="69" spans="1:20">
      <c r="I69" s="67"/>
    </row>
    <row r="70" spans="1:20">
      <c r="H70" s="67"/>
      <c r="K70" s="42"/>
      <c r="L70" s="42"/>
      <c r="M70" s="42"/>
      <c r="N70" s="42"/>
      <c r="O70" s="42"/>
      <c r="P70" s="42"/>
      <c r="Q70" s="42"/>
      <c r="R70" s="42"/>
      <c r="S70" s="42"/>
      <c r="T70" s="42"/>
    </row>
    <row r="71" spans="1:20" ht="38.25">
      <c r="B71" s="22"/>
      <c r="C71" s="74" t="s">
        <v>244</v>
      </c>
      <c r="D71" s="75" t="s">
        <v>205</v>
      </c>
      <c r="E71" s="75" t="s">
        <v>69</v>
      </c>
      <c r="F71" s="75" t="s">
        <v>266</v>
      </c>
      <c r="G71" s="75" t="s">
        <v>113</v>
      </c>
      <c r="H71" s="76" t="s">
        <v>179</v>
      </c>
      <c r="I71" s="331" t="s">
        <v>261</v>
      </c>
      <c r="J71" s="331" t="s">
        <v>467</v>
      </c>
      <c r="K71" s="1029" t="s">
        <v>337</v>
      </c>
      <c r="L71" s="1030"/>
      <c r="M71" s="1030"/>
      <c r="N71" s="1030"/>
      <c r="O71" s="1030"/>
      <c r="P71" s="1030"/>
      <c r="Q71" s="1030"/>
      <c r="R71" s="1030"/>
      <c r="S71" s="1030"/>
      <c r="T71" s="1031"/>
    </row>
    <row r="72" spans="1:20">
      <c r="A72" s="335" t="s">
        <v>182</v>
      </c>
      <c r="B72" s="68" t="s">
        <v>66</v>
      </c>
      <c r="C72" s="307"/>
      <c r="D72" s="70"/>
      <c r="E72" s="69"/>
      <c r="F72" s="69"/>
      <c r="G72" s="70"/>
      <c r="H72" s="71"/>
      <c r="I72" s="71"/>
      <c r="J72" s="425"/>
      <c r="K72" s="426">
        <v>2014</v>
      </c>
      <c r="L72" s="427">
        <f t="shared" ref="L72:T72" si="5">K72+1</f>
        <v>2015</v>
      </c>
      <c r="M72" s="427">
        <f t="shared" si="5"/>
        <v>2016</v>
      </c>
      <c r="N72" s="427">
        <f t="shared" si="5"/>
        <v>2017</v>
      </c>
      <c r="O72" s="427">
        <f t="shared" si="5"/>
        <v>2018</v>
      </c>
      <c r="P72" s="427">
        <f t="shared" si="5"/>
        <v>2019</v>
      </c>
      <c r="Q72" s="427">
        <f t="shared" si="5"/>
        <v>2020</v>
      </c>
      <c r="R72" s="427">
        <f t="shared" si="5"/>
        <v>2021</v>
      </c>
      <c r="S72" s="427">
        <f t="shared" si="5"/>
        <v>2022</v>
      </c>
      <c r="T72" s="428">
        <f t="shared" si="5"/>
        <v>2023</v>
      </c>
    </row>
    <row r="73" spans="1:20">
      <c r="A73" s="60" t="s">
        <v>165</v>
      </c>
      <c r="B73" s="72" t="s">
        <v>40</v>
      </c>
      <c r="C73" s="308">
        <v>0.06</v>
      </c>
      <c r="D73" s="309">
        <v>0.58109999999999995</v>
      </c>
      <c r="E73" s="310">
        <v>0.65</v>
      </c>
      <c r="F73" s="310">
        <v>0.68</v>
      </c>
      <c r="G73" s="341">
        <v>2016</v>
      </c>
      <c r="H73" s="342" t="str">
        <f t="shared" ref="H73:H97" si="6">VLOOKUP($A73,$E$54:$F$57,2,FALSE)</f>
        <v>£m 12/13</v>
      </c>
      <c r="I73" s="342" t="s">
        <v>262</v>
      </c>
      <c r="J73" s="425" t="s">
        <v>468</v>
      </c>
      <c r="K73" s="550"/>
      <c r="L73" s="551"/>
      <c r="M73" s="433">
        <f t="shared" ref="M73:M82" si="7">E$64</f>
        <v>2.5499999999999998E-2</v>
      </c>
      <c r="N73" s="433">
        <f t="shared" ref="N73:N82" si="8">F$64</f>
        <v>2.4199999999999999E-2</v>
      </c>
      <c r="O73" s="433">
        <f t="shared" ref="O73:O82" si="9">G$64</f>
        <v>2.29E-2</v>
      </c>
      <c r="P73" s="433">
        <f t="shared" ref="P73:P82" si="10">H$64</f>
        <v>2.0899999999999998E-2</v>
      </c>
      <c r="Q73" s="433">
        <f t="shared" ref="Q73:Q82" si="11">I$64</f>
        <v>1.9400000000000001E-2</v>
      </c>
      <c r="R73" s="433">
        <f t="shared" ref="R73:R82" si="12">J$64</f>
        <v>1.78E-2</v>
      </c>
      <c r="S73" s="433">
        <f t="shared" ref="S73:S82" si="13">K$64</f>
        <v>1.6199999999999999E-2</v>
      </c>
      <c r="T73" s="437">
        <f t="shared" ref="T73:T82" si="14">L$64</f>
        <v>1.47E-2</v>
      </c>
    </row>
    <row r="74" spans="1:20">
      <c r="A74" s="60" t="s">
        <v>165</v>
      </c>
      <c r="B74" s="72" t="s">
        <v>41</v>
      </c>
      <c r="C74" s="308">
        <v>0.06</v>
      </c>
      <c r="D74" s="309">
        <v>0.55843703457782867</v>
      </c>
      <c r="E74" s="310">
        <v>0.65</v>
      </c>
      <c r="F74" s="310">
        <v>0.7</v>
      </c>
      <c r="G74" s="341">
        <v>2016</v>
      </c>
      <c r="H74" s="342" t="str">
        <f t="shared" si="6"/>
        <v>£m 12/13</v>
      </c>
      <c r="I74" s="342" t="s">
        <v>262</v>
      </c>
      <c r="J74" s="425" t="s">
        <v>468</v>
      </c>
      <c r="K74" s="550"/>
      <c r="L74" s="551"/>
      <c r="M74" s="433">
        <f t="shared" si="7"/>
        <v>2.5499999999999998E-2</v>
      </c>
      <c r="N74" s="433">
        <f t="shared" si="8"/>
        <v>2.4199999999999999E-2</v>
      </c>
      <c r="O74" s="433">
        <f t="shared" si="9"/>
        <v>2.29E-2</v>
      </c>
      <c r="P74" s="433">
        <f t="shared" si="10"/>
        <v>2.0899999999999998E-2</v>
      </c>
      <c r="Q74" s="433">
        <f t="shared" si="11"/>
        <v>1.9400000000000001E-2</v>
      </c>
      <c r="R74" s="433">
        <f t="shared" si="12"/>
        <v>1.78E-2</v>
      </c>
      <c r="S74" s="433">
        <f t="shared" si="13"/>
        <v>1.6199999999999999E-2</v>
      </c>
      <c r="T74" s="437">
        <f t="shared" si="14"/>
        <v>1.47E-2</v>
      </c>
    </row>
    <row r="75" spans="1:20">
      <c r="A75" s="60" t="s">
        <v>165</v>
      </c>
      <c r="B75" s="72" t="s">
        <v>70</v>
      </c>
      <c r="C75" s="308">
        <v>0.06</v>
      </c>
      <c r="D75" s="309">
        <v>0.55843703457782867</v>
      </c>
      <c r="E75" s="310">
        <v>0.65</v>
      </c>
      <c r="F75" s="310">
        <v>0.72</v>
      </c>
      <c r="G75" s="341">
        <v>2016</v>
      </c>
      <c r="H75" s="342" t="str">
        <f t="shared" si="6"/>
        <v>£m 12/13</v>
      </c>
      <c r="I75" s="342" t="s">
        <v>262</v>
      </c>
      <c r="J75" s="425" t="s">
        <v>468</v>
      </c>
      <c r="K75" s="550"/>
      <c r="L75" s="551"/>
      <c r="M75" s="433">
        <f t="shared" si="7"/>
        <v>2.5499999999999998E-2</v>
      </c>
      <c r="N75" s="433">
        <f t="shared" si="8"/>
        <v>2.4199999999999999E-2</v>
      </c>
      <c r="O75" s="433">
        <f t="shared" si="9"/>
        <v>2.29E-2</v>
      </c>
      <c r="P75" s="433">
        <f t="shared" si="10"/>
        <v>2.0899999999999998E-2</v>
      </c>
      <c r="Q75" s="433">
        <f t="shared" si="11"/>
        <v>1.9400000000000001E-2</v>
      </c>
      <c r="R75" s="433">
        <f t="shared" si="12"/>
        <v>1.78E-2</v>
      </c>
      <c r="S75" s="433">
        <f t="shared" si="13"/>
        <v>1.6199999999999999E-2</v>
      </c>
      <c r="T75" s="437">
        <f t="shared" si="14"/>
        <v>1.47E-2</v>
      </c>
    </row>
    <row r="76" spans="1:20">
      <c r="A76" s="60" t="s">
        <v>165</v>
      </c>
      <c r="B76" s="72" t="s">
        <v>56</v>
      </c>
      <c r="C76" s="308">
        <v>0.06</v>
      </c>
      <c r="D76" s="309">
        <v>0.53280000000000005</v>
      </c>
      <c r="E76" s="310">
        <v>0.65</v>
      </c>
      <c r="F76" s="310">
        <v>0.68</v>
      </c>
      <c r="G76" s="341">
        <v>2016</v>
      </c>
      <c r="H76" s="342" t="str">
        <f t="shared" si="6"/>
        <v>£m 12/13</v>
      </c>
      <c r="I76" s="342" t="s">
        <v>262</v>
      </c>
      <c r="J76" s="425" t="s">
        <v>468</v>
      </c>
      <c r="K76" s="550"/>
      <c r="L76" s="551"/>
      <c r="M76" s="433">
        <f t="shared" si="7"/>
        <v>2.5499999999999998E-2</v>
      </c>
      <c r="N76" s="433">
        <f t="shared" si="8"/>
        <v>2.4199999999999999E-2</v>
      </c>
      <c r="O76" s="433">
        <f t="shared" si="9"/>
        <v>2.29E-2</v>
      </c>
      <c r="P76" s="433">
        <f t="shared" si="10"/>
        <v>2.0899999999999998E-2</v>
      </c>
      <c r="Q76" s="433">
        <f t="shared" si="11"/>
        <v>1.9400000000000001E-2</v>
      </c>
      <c r="R76" s="433">
        <f t="shared" si="12"/>
        <v>1.78E-2</v>
      </c>
      <c r="S76" s="433">
        <f t="shared" si="13"/>
        <v>1.6199999999999999E-2</v>
      </c>
      <c r="T76" s="437">
        <f t="shared" si="14"/>
        <v>1.47E-2</v>
      </c>
    </row>
    <row r="77" spans="1:20">
      <c r="A77" s="60" t="s">
        <v>165</v>
      </c>
      <c r="B77" s="72" t="s">
        <v>54</v>
      </c>
      <c r="C77" s="308">
        <v>0.06</v>
      </c>
      <c r="D77" s="309">
        <v>0.53280000000000005</v>
      </c>
      <c r="E77" s="310">
        <v>0.65</v>
      </c>
      <c r="F77" s="310">
        <v>0.68</v>
      </c>
      <c r="G77" s="341">
        <v>2016</v>
      </c>
      <c r="H77" s="342" t="str">
        <f t="shared" si="6"/>
        <v>£m 12/13</v>
      </c>
      <c r="I77" s="342" t="s">
        <v>262</v>
      </c>
      <c r="J77" s="425" t="s">
        <v>468</v>
      </c>
      <c r="K77" s="550"/>
      <c r="L77" s="551"/>
      <c r="M77" s="433">
        <f t="shared" si="7"/>
        <v>2.5499999999999998E-2</v>
      </c>
      <c r="N77" s="433">
        <f t="shared" si="8"/>
        <v>2.4199999999999999E-2</v>
      </c>
      <c r="O77" s="433">
        <f t="shared" si="9"/>
        <v>2.29E-2</v>
      </c>
      <c r="P77" s="433">
        <f t="shared" si="10"/>
        <v>2.0899999999999998E-2</v>
      </c>
      <c r="Q77" s="433">
        <f t="shared" si="11"/>
        <v>1.9400000000000001E-2</v>
      </c>
      <c r="R77" s="433">
        <f t="shared" si="12"/>
        <v>1.78E-2</v>
      </c>
      <c r="S77" s="433">
        <f t="shared" si="13"/>
        <v>1.6199999999999999E-2</v>
      </c>
      <c r="T77" s="437">
        <f t="shared" si="14"/>
        <v>1.47E-2</v>
      </c>
    </row>
    <row r="78" spans="1:20">
      <c r="A78" s="60" t="s">
        <v>165</v>
      </c>
      <c r="B78" s="72" t="s">
        <v>55</v>
      </c>
      <c r="C78" s="308">
        <v>0.06</v>
      </c>
      <c r="D78" s="309">
        <v>0.53280000000000005</v>
      </c>
      <c r="E78" s="310">
        <v>0.65</v>
      </c>
      <c r="F78" s="310">
        <v>0.68</v>
      </c>
      <c r="G78" s="341">
        <v>2016</v>
      </c>
      <c r="H78" s="342" t="str">
        <f t="shared" si="6"/>
        <v>£m 12/13</v>
      </c>
      <c r="I78" s="342" t="s">
        <v>262</v>
      </c>
      <c r="J78" s="425" t="s">
        <v>468</v>
      </c>
      <c r="K78" s="550"/>
      <c r="L78" s="551"/>
      <c r="M78" s="433">
        <f t="shared" si="7"/>
        <v>2.5499999999999998E-2</v>
      </c>
      <c r="N78" s="433">
        <f t="shared" si="8"/>
        <v>2.4199999999999999E-2</v>
      </c>
      <c r="O78" s="433">
        <f t="shared" si="9"/>
        <v>2.29E-2</v>
      </c>
      <c r="P78" s="433">
        <f t="shared" si="10"/>
        <v>2.0899999999999998E-2</v>
      </c>
      <c r="Q78" s="433">
        <f t="shared" si="11"/>
        <v>1.9400000000000001E-2</v>
      </c>
      <c r="R78" s="433">
        <f t="shared" si="12"/>
        <v>1.78E-2</v>
      </c>
      <c r="S78" s="433">
        <f t="shared" si="13"/>
        <v>1.6199999999999999E-2</v>
      </c>
      <c r="T78" s="437">
        <f t="shared" si="14"/>
        <v>1.47E-2</v>
      </c>
    </row>
    <row r="79" spans="1:20">
      <c r="A79" s="60" t="s">
        <v>165</v>
      </c>
      <c r="B79" s="72" t="s">
        <v>42</v>
      </c>
      <c r="C79" s="308">
        <v>0.06</v>
      </c>
      <c r="D79" s="309">
        <v>0.53500000000000003</v>
      </c>
      <c r="E79" s="310">
        <v>0.65</v>
      </c>
      <c r="F79" s="310">
        <v>0.8</v>
      </c>
      <c r="G79" s="341">
        <v>2016</v>
      </c>
      <c r="H79" s="342" t="str">
        <f t="shared" si="6"/>
        <v>£m 12/13</v>
      </c>
      <c r="I79" s="342" t="s">
        <v>262</v>
      </c>
      <c r="J79" s="425" t="s">
        <v>468</v>
      </c>
      <c r="K79" s="550"/>
      <c r="L79" s="551"/>
      <c r="M79" s="433">
        <f t="shared" si="7"/>
        <v>2.5499999999999998E-2</v>
      </c>
      <c r="N79" s="433">
        <f t="shared" si="8"/>
        <v>2.4199999999999999E-2</v>
      </c>
      <c r="O79" s="433">
        <f t="shared" si="9"/>
        <v>2.29E-2</v>
      </c>
      <c r="P79" s="433">
        <f t="shared" si="10"/>
        <v>2.0899999999999998E-2</v>
      </c>
      <c r="Q79" s="433">
        <f t="shared" si="11"/>
        <v>1.9400000000000001E-2</v>
      </c>
      <c r="R79" s="433">
        <f t="shared" si="12"/>
        <v>1.78E-2</v>
      </c>
      <c r="S79" s="433">
        <f t="shared" si="13"/>
        <v>1.6199999999999999E-2</v>
      </c>
      <c r="T79" s="437">
        <f t="shared" si="14"/>
        <v>1.47E-2</v>
      </c>
    </row>
    <row r="80" spans="1:20">
      <c r="A80" s="60" t="s">
        <v>165</v>
      </c>
      <c r="B80" s="72" t="s">
        <v>43</v>
      </c>
      <c r="C80" s="308">
        <v>0.06</v>
      </c>
      <c r="D80" s="309">
        <v>0.53500000000000003</v>
      </c>
      <c r="E80" s="310">
        <v>0.65</v>
      </c>
      <c r="F80" s="310">
        <v>0.8</v>
      </c>
      <c r="G80" s="341">
        <v>2016</v>
      </c>
      <c r="H80" s="342" t="str">
        <f t="shared" si="6"/>
        <v>£m 12/13</v>
      </c>
      <c r="I80" s="342" t="s">
        <v>262</v>
      </c>
      <c r="J80" s="425" t="s">
        <v>468</v>
      </c>
      <c r="K80" s="550"/>
      <c r="L80" s="551"/>
      <c r="M80" s="433">
        <f t="shared" si="7"/>
        <v>2.5499999999999998E-2</v>
      </c>
      <c r="N80" s="433">
        <f t="shared" si="8"/>
        <v>2.4199999999999999E-2</v>
      </c>
      <c r="O80" s="433">
        <f t="shared" si="9"/>
        <v>2.29E-2</v>
      </c>
      <c r="P80" s="433">
        <f t="shared" si="10"/>
        <v>2.0899999999999998E-2</v>
      </c>
      <c r="Q80" s="433">
        <f t="shared" si="11"/>
        <v>1.9400000000000001E-2</v>
      </c>
      <c r="R80" s="433">
        <f t="shared" si="12"/>
        <v>1.78E-2</v>
      </c>
      <c r="S80" s="433">
        <f t="shared" si="13"/>
        <v>1.6199999999999999E-2</v>
      </c>
      <c r="T80" s="437">
        <f t="shared" si="14"/>
        <v>1.47E-2</v>
      </c>
    </row>
    <row r="81" spans="1:20">
      <c r="A81" s="60" t="s">
        <v>165</v>
      </c>
      <c r="B81" s="72" t="s">
        <v>44</v>
      </c>
      <c r="C81" s="308">
        <v>0.06</v>
      </c>
      <c r="D81" s="309">
        <v>0.56469999999999998</v>
      </c>
      <c r="E81" s="310">
        <v>0.65</v>
      </c>
      <c r="F81" s="310">
        <v>0.62</v>
      </c>
      <c r="G81" s="341">
        <v>2016</v>
      </c>
      <c r="H81" s="342" t="str">
        <f t="shared" si="6"/>
        <v>£m 12/13</v>
      </c>
      <c r="I81" s="342" t="s">
        <v>262</v>
      </c>
      <c r="J81" s="425" t="s">
        <v>468</v>
      </c>
      <c r="K81" s="550"/>
      <c r="L81" s="551"/>
      <c r="M81" s="433">
        <f t="shared" si="7"/>
        <v>2.5499999999999998E-2</v>
      </c>
      <c r="N81" s="433">
        <f t="shared" si="8"/>
        <v>2.4199999999999999E-2</v>
      </c>
      <c r="O81" s="433">
        <f t="shared" si="9"/>
        <v>2.29E-2</v>
      </c>
      <c r="P81" s="433">
        <f t="shared" si="10"/>
        <v>2.0899999999999998E-2</v>
      </c>
      <c r="Q81" s="433">
        <f t="shared" si="11"/>
        <v>1.9400000000000001E-2</v>
      </c>
      <c r="R81" s="433">
        <f t="shared" si="12"/>
        <v>1.78E-2</v>
      </c>
      <c r="S81" s="433">
        <f t="shared" si="13"/>
        <v>1.6199999999999999E-2</v>
      </c>
      <c r="T81" s="437">
        <f t="shared" si="14"/>
        <v>1.47E-2</v>
      </c>
    </row>
    <row r="82" spans="1:20">
      <c r="A82" s="60" t="s">
        <v>165</v>
      </c>
      <c r="B82" s="72" t="s">
        <v>45</v>
      </c>
      <c r="C82" s="308">
        <v>0.06</v>
      </c>
      <c r="D82" s="309">
        <v>0.56469999999999998</v>
      </c>
      <c r="E82" s="310">
        <v>0.65</v>
      </c>
      <c r="F82" s="310">
        <v>0.7</v>
      </c>
      <c r="G82" s="341">
        <v>2016</v>
      </c>
      <c r="H82" s="342" t="str">
        <f t="shared" si="6"/>
        <v>£m 12/13</v>
      </c>
      <c r="I82" s="342" t="s">
        <v>262</v>
      </c>
      <c r="J82" s="425" t="s">
        <v>468</v>
      </c>
      <c r="K82" s="550"/>
      <c r="L82" s="551"/>
      <c r="M82" s="433">
        <f t="shared" si="7"/>
        <v>2.5499999999999998E-2</v>
      </c>
      <c r="N82" s="433">
        <f t="shared" si="8"/>
        <v>2.4199999999999999E-2</v>
      </c>
      <c r="O82" s="433">
        <f t="shared" si="9"/>
        <v>2.29E-2</v>
      </c>
      <c r="P82" s="433">
        <f t="shared" si="10"/>
        <v>2.0899999999999998E-2</v>
      </c>
      <c r="Q82" s="433">
        <f t="shared" si="11"/>
        <v>1.9400000000000001E-2</v>
      </c>
      <c r="R82" s="433">
        <f t="shared" si="12"/>
        <v>1.78E-2</v>
      </c>
      <c r="S82" s="433">
        <f t="shared" si="13"/>
        <v>1.6199999999999999E-2</v>
      </c>
      <c r="T82" s="437">
        <f t="shared" si="14"/>
        <v>1.47E-2</v>
      </c>
    </row>
    <row r="83" spans="1:20">
      <c r="A83" s="60" t="s">
        <v>165</v>
      </c>
      <c r="B83" s="72" t="s">
        <v>239</v>
      </c>
      <c r="C83" s="308">
        <v>6.4000000000000001E-2</v>
      </c>
      <c r="D83" s="309">
        <v>0.7</v>
      </c>
      <c r="E83" s="310">
        <v>0.65</v>
      </c>
      <c r="F83" s="310">
        <v>0.8</v>
      </c>
      <c r="G83" s="341">
        <v>2016</v>
      </c>
      <c r="H83" s="342" t="str">
        <f t="shared" si="6"/>
        <v>£m 12/13</v>
      </c>
      <c r="I83" s="342" t="s">
        <v>263</v>
      </c>
      <c r="J83" s="425" t="s">
        <v>469</v>
      </c>
      <c r="K83" s="550"/>
      <c r="L83" s="551"/>
      <c r="M83" s="433">
        <f t="shared" ref="M83:T86" si="15">E$63</f>
        <v>2.5499999999999998E-2</v>
      </c>
      <c r="N83" s="433">
        <f t="shared" si="15"/>
        <v>2.3799999999999998E-2</v>
      </c>
      <c r="O83" s="433">
        <f t="shared" si="15"/>
        <v>2.2200000000000001E-2</v>
      </c>
      <c r="P83" s="433">
        <f t="shared" si="15"/>
        <v>1.9099999999999999E-2</v>
      </c>
      <c r="Q83" s="433">
        <f t="shared" si="15"/>
        <v>1.5800000000000002E-2</v>
      </c>
      <c r="R83" s="433">
        <f t="shared" si="15"/>
        <v>1.09E-2</v>
      </c>
      <c r="S83" s="433">
        <f t="shared" si="15"/>
        <v>7.6E-3</v>
      </c>
      <c r="T83" s="437">
        <f t="shared" si="15"/>
        <v>4.4000000000000003E-3</v>
      </c>
    </row>
    <row r="84" spans="1:20">
      <c r="A84" s="60" t="s">
        <v>165</v>
      </c>
      <c r="B84" s="72" t="s">
        <v>240</v>
      </c>
      <c r="C84" s="308">
        <v>6.4000000000000001E-2</v>
      </c>
      <c r="D84" s="309">
        <v>0.7</v>
      </c>
      <c r="E84" s="310">
        <v>0.65</v>
      </c>
      <c r="F84" s="310">
        <v>0.8</v>
      </c>
      <c r="G84" s="341">
        <v>2016</v>
      </c>
      <c r="H84" s="342" t="str">
        <f t="shared" si="6"/>
        <v>£m 12/13</v>
      </c>
      <c r="I84" s="342" t="s">
        <v>263</v>
      </c>
      <c r="J84" s="425" t="s">
        <v>469</v>
      </c>
      <c r="K84" s="550"/>
      <c r="L84" s="551"/>
      <c r="M84" s="433">
        <f t="shared" si="15"/>
        <v>2.5499999999999998E-2</v>
      </c>
      <c r="N84" s="433">
        <f t="shared" si="15"/>
        <v>2.3799999999999998E-2</v>
      </c>
      <c r="O84" s="433">
        <f t="shared" si="15"/>
        <v>2.2200000000000001E-2</v>
      </c>
      <c r="P84" s="433">
        <f t="shared" si="15"/>
        <v>1.9099999999999999E-2</v>
      </c>
      <c r="Q84" s="433">
        <f t="shared" si="15"/>
        <v>1.5800000000000002E-2</v>
      </c>
      <c r="R84" s="433">
        <f t="shared" si="15"/>
        <v>1.09E-2</v>
      </c>
      <c r="S84" s="433">
        <f t="shared" si="15"/>
        <v>7.6E-3</v>
      </c>
      <c r="T84" s="437">
        <f t="shared" si="15"/>
        <v>4.4000000000000003E-3</v>
      </c>
    </row>
    <row r="85" spans="1:20">
      <c r="A85" s="60" t="s">
        <v>165</v>
      </c>
      <c r="B85" s="72" t="s">
        <v>241</v>
      </c>
      <c r="C85" s="308">
        <v>6.4000000000000001E-2</v>
      </c>
      <c r="D85" s="309">
        <v>0.7</v>
      </c>
      <c r="E85" s="310">
        <v>0.65</v>
      </c>
      <c r="F85" s="310">
        <v>0.8</v>
      </c>
      <c r="G85" s="341">
        <v>2016</v>
      </c>
      <c r="H85" s="342" t="str">
        <f t="shared" si="6"/>
        <v>£m 12/13</v>
      </c>
      <c r="I85" s="342" t="s">
        <v>263</v>
      </c>
      <c r="J85" s="425" t="s">
        <v>469</v>
      </c>
      <c r="K85" s="550"/>
      <c r="L85" s="551"/>
      <c r="M85" s="433">
        <f t="shared" si="15"/>
        <v>2.5499999999999998E-2</v>
      </c>
      <c r="N85" s="433">
        <f t="shared" si="15"/>
        <v>2.3799999999999998E-2</v>
      </c>
      <c r="O85" s="433">
        <f t="shared" si="15"/>
        <v>2.2200000000000001E-2</v>
      </c>
      <c r="P85" s="433">
        <f t="shared" si="15"/>
        <v>1.9099999999999999E-2</v>
      </c>
      <c r="Q85" s="433">
        <f t="shared" si="15"/>
        <v>1.5800000000000002E-2</v>
      </c>
      <c r="R85" s="433">
        <f t="shared" si="15"/>
        <v>1.09E-2</v>
      </c>
      <c r="S85" s="433">
        <f t="shared" si="15"/>
        <v>7.6E-3</v>
      </c>
      <c r="T85" s="437">
        <f t="shared" si="15"/>
        <v>4.4000000000000003E-3</v>
      </c>
    </row>
    <row r="86" spans="1:20">
      <c r="A86" s="60" t="s">
        <v>165</v>
      </c>
      <c r="B86" s="72" t="s">
        <v>242</v>
      </c>
      <c r="C86" s="308">
        <v>6.4000000000000001E-2</v>
      </c>
      <c r="D86" s="309">
        <v>0.7</v>
      </c>
      <c r="E86" s="310">
        <v>0.65</v>
      </c>
      <c r="F86" s="310">
        <v>0.8</v>
      </c>
      <c r="G86" s="341">
        <v>2016</v>
      </c>
      <c r="H86" s="342" t="str">
        <f t="shared" si="6"/>
        <v>£m 12/13</v>
      </c>
      <c r="I86" s="342" t="s">
        <v>263</v>
      </c>
      <c r="J86" s="425" t="s">
        <v>469</v>
      </c>
      <c r="K86" s="550"/>
      <c r="L86" s="551"/>
      <c r="M86" s="433">
        <f t="shared" si="15"/>
        <v>2.5499999999999998E-2</v>
      </c>
      <c r="N86" s="433">
        <f t="shared" si="15"/>
        <v>2.3799999999999998E-2</v>
      </c>
      <c r="O86" s="433">
        <f t="shared" si="15"/>
        <v>2.2200000000000001E-2</v>
      </c>
      <c r="P86" s="433">
        <f t="shared" si="15"/>
        <v>1.9099999999999999E-2</v>
      </c>
      <c r="Q86" s="433">
        <f t="shared" si="15"/>
        <v>1.5800000000000002E-2</v>
      </c>
      <c r="R86" s="433">
        <f t="shared" si="15"/>
        <v>1.09E-2</v>
      </c>
      <c r="S86" s="433">
        <f t="shared" si="15"/>
        <v>7.6E-3</v>
      </c>
      <c r="T86" s="437">
        <f t="shared" si="15"/>
        <v>4.4000000000000003E-3</v>
      </c>
    </row>
    <row r="87" spans="1:20">
      <c r="A87" s="60" t="s">
        <v>166</v>
      </c>
      <c r="B87" s="72" t="s">
        <v>50</v>
      </c>
      <c r="C87" s="308">
        <v>6.7000000000000004E-2</v>
      </c>
      <c r="D87" s="309">
        <v>0.63039999999999996</v>
      </c>
      <c r="E87" s="310">
        <v>0.65</v>
      </c>
      <c r="F87" s="310">
        <v>0.26634501855794862</v>
      </c>
      <c r="G87" s="341">
        <v>2014</v>
      </c>
      <c r="H87" s="342" t="str">
        <f t="shared" si="6"/>
        <v>£m 09/10</v>
      </c>
      <c r="I87" s="342" t="s">
        <v>262</v>
      </c>
      <c r="J87" s="425" t="s">
        <v>469</v>
      </c>
      <c r="K87" s="435">
        <f t="shared" ref="K87:R94" si="16">C$67</f>
        <v>2.92E-2</v>
      </c>
      <c r="L87" s="433">
        <f t="shared" si="16"/>
        <v>2.7199999999999998E-2</v>
      </c>
      <c r="M87" s="433">
        <f t="shared" si="16"/>
        <v>2.5499999999999998E-2</v>
      </c>
      <c r="N87" s="433">
        <f t="shared" si="16"/>
        <v>2.3800000000000002E-2</v>
      </c>
      <c r="O87" s="433">
        <f t="shared" si="16"/>
        <v>2.2200000000000001E-2</v>
      </c>
      <c r="P87" s="433">
        <f t="shared" si="16"/>
        <v>1.9099999999999999E-2</v>
      </c>
      <c r="Q87" s="433">
        <f t="shared" si="16"/>
        <v>1.5800000000000002E-2</v>
      </c>
      <c r="R87" s="433">
        <f t="shared" si="16"/>
        <v>1.09E-2</v>
      </c>
      <c r="S87" s="551"/>
      <c r="T87" s="552"/>
    </row>
    <row r="88" spans="1:20">
      <c r="A88" s="60" t="s">
        <v>166</v>
      </c>
      <c r="B88" s="72" t="s">
        <v>51</v>
      </c>
      <c r="C88" s="308">
        <v>6.7000000000000004E-2</v>
      </c>
      <c r="D88" s="309">
        <v>0.63039999999999996</v>
      </c>
      <c r="E88" s="310">
        <v>0.65</v>
      </c>
      <c r="F88" s="310">
        <v>0.23469337831705597</v>
      </c>
      <c r="G88" s="341">
        <v>2014</v>
      </c>
      <c r="H88" s="342" t="str">
        <f t="shared" si="6"/>
        <v>£m 09/10</v>
      </c>
      <c r="I88" s="342" t="s">
        <v>262</v>
      </c>
      <c r="J88" s="425" t="s">
        <v>469</v>
      </c>
      <c r="K88" s="435">
        <f t="shared" si="16"/>
        <v>2.92E-2</v>
      </c>
      <c r="L88" s="433">
        <f t="shared" si="16"/>
        <v>2.7199999999999998E-2</v>
      </c>
      <c r="M88" s="433">
        <f t="shared" si="16"/>
        <v>2.5499999999999998E-2</v>
      </c>
      <c r="N88" s="433">
        <f t="shared" si="16"/>
        <v>2.3800000000000002E-2</v>
      </c>
      <c r="O88" s="433">
        <f t="shared" si="16"/>
        <v>2.2200000000000001E-2</v>
      </c>
      <c r="P88" s="433">
        <f t="shared" si="16"/>
        <v>1.9099999999999999E-2</v>
      </c>
      <c r="Q88" s="433">
        <f t="shared" si="16"/>
        <v>1.5800000000000002E-2</v>
      </c>
      <c r="R88" s="433">
        <f t="shared" si="16"/>
        <v>1.09E-2</v>
      </c>
      <c r="S88" s="551"/>
      <c r="T88" s="552"/>
    </row>
    <row r="89" spans="1:20">
      <c r="A89" s="60" t="s">
        <v>166</v>
      </c>
      <c r="B89" s="72" t="s">
        <v>52</v>
      </c>
      <c r="C89" s="308">
        <v>6.7000000000000004E-2</v>
      </c>
      <c r="D89" s="309">
        <v>0.63039999999999996</v>
      </c>
      <c r="E89" s="310">
        <v>0.65</v>
      </c>
      <c r="F89" s="310">
        <v>0.24946223864843597</v>
      </c>
      <c r="G89" s="341">
        <v>2014</v>
      </c>
      <c r="H89" s="342" t="str">
        <f t="shared" si="6"/>
        <v>£m 09/10</v>
      </c>
      <c r="I89" s="342" t="s">
        <v>262</v>
      </c>
      <c r="J89" s="425" t="s">
        <v>469</v>
      </c>
      <c r="K89" s="435">
        <f t="shared" si="16"/>
        <v>2.92E-2</v>
      </c>
      <c r="L89" s="433">
        <f t="shared" si="16"/>
        <v>2.7199999999999998E-2</v>
      </c>
      <c r="M89" s="433">
        <f t="shared" si="16"/>
        <v>2.5499999999999998E-2</v>
      </c>
      <c r="N89" s="433">
        <f t="shared" si="16"/>
        <v>2.3800000000000002E-2</v>
      </c>
      <c r="O89" s="433">
        <f t="shared" si="16"/>
        <v>2.2200000000000001E-2</v>
      </c>
      <c r="P89" s="433">
        <f t="shared" si="16"/>
        <v>1.9099999999999999E-2</v>
      </c>
      <c r="Q89" s="433">
        <f t="shared" si="16"/>
        <v>1.5800000000000002E-2</v>
      </c>
      <c r="R89" s="433">
        <f t="shared" si="16"/>
        <v>1.09E-2</v>
      </c>
      <c r="S89" s="551"/>
      <c r="T89" s="552"/>
    </row>
    <row r="90" spans="1:20">
      <c r="A90" s="60" t="s">
        <v>166</v>
      </c>
      <c r="B90" s="72" t="s">
        <v>53</v>
      </c>
      <c r="C90" s="308">
        <v>6.7000000000000004E-2</v>
      </c>
      <c r="D90" s="309">
        <v>0.63039999999999996</v>
      </c>
      <c r="E90" s="310">
        <v>0.65</v>
      </c>
      <c r="F90" s="310">
        <v>0.26095352485819256</v>
      </c>
      <c r="G90" s="341">
        <v>2014</v>
      </c>
      <c r="H90" s="342" t="str">
        <f t="shared" si="6"/>
        <v>£m 09/10</v>
      </c>
      <c r="I90" s="342" t="s">
        <v>262</v>
      </c>
      <c r="J90" s="425" t="s">
        <v>469</v>
      </c>
      <c r="K90" s="435">
        <f t="shared" si="16"/>
        <v>2.92E-2</v>
      </c>
      <c r="L90" s="433">
        <f t="shared" si="16"/>
        <v>2.7199999999999998E-2</v>
      </c>
      <c r="M90" s="433">
        <f t="shared" si="16"/>
        <v>2.5499999999999998E-2</v>
      </c>
      <c r="N90" s="433">
        <f t="shared" si="16"/>
        <v>2.3800000000000002E-2</v>
      </c>
      <c r="O90" s="433">
        <f t="shared" si="16"/>
        <v>2.2200000000000001E-2</v>
      </c>
      <c r="P90" s="433">
        <f t="shared" si="16"/>
        <v>1.9099999999999999E-2</v>
      </c>
      <c r="Q90" s="433">
        <f t="shared" si="16"/>
        <v>1.5800000000000002E-2</v>
      </c>
      <c r="R90" s="433">
        <f t="shared" si="16"/>
        <v>1.09E-2</v>
      </c>
      <c r="S90" s="551"/>
      <c r="T90" s="552"/>
    </row>
    <row r="91" spans="1:20">
      <c r="A91" s="60" t="s">
        <v>166</v>
      </c>
      <c r="B91" s="72" t="s">
        <v>47</v>
      </c>
      <c r="C91" s="308">
        <v>6.7000000000000004E-2</v>
      </c>
      <c r="D91" s="309">
        <v>0.63980000000000004</v>
      </c>
      <c r="E91" s="310">
        <v>0.65</v>
      </c>
      <c r="F91" s="310">
        <v>0.34984411379298247</v>
      </c>
      <c r="G91" s="341">
        <v>2014</v>
      </c>
      <c r="H91" s="342" t="str">
        <f t="shared" si="6"/>
        <v>£m 09/10</v>
      </c>
      <c r="I91" s="342" t="s">
        <v>262</v>
      </c>
      <c r="J91" s="425" t="s">
        <v>469</v>
      </c>
      <c r="K91" s="435">
        <f t="shared" si="16"/>
        <v>2.92E-2</v>
      </c>
      <c r="L91" s="433">
        <f t="shared" si="16"/>
        <v>2.7199999999999998E-2</v>
      </c>
      <c r="M91" s="433">
        <f t="shared" si="16"/>
        <v>2.5499999999999998E-2</v>
      </c>
      <c r="N91" s="433">
        <f t="shared" si="16"/>
        <v>2.3800000000000002E-2</v>
      </c>
      <c r="O91" s="433">
        <f t="shared" si="16"/>
        <v>2.2200000000000001E-2</v>
      </c>
      <c r="P91" s="433">
        <f t="shared" si="16"/>
        <v>1.9099999999999999E-2</v>
      </c>
      <c r="Q91" s="433">
        <f t="shared" si="16"/>
        <v>1.5800000000000002E-2</v>
      </c>
      <c r="R91" s="433">
        <f t="shared" si="16"/>
        <v>1.09E-2</v>
      </c>
      <c r="S91" s="551"/>
      <c r="T91" s="552"/>
    </row>
    <row r="92" spans="1:20">
      <c r="A92" s="60" t="s">
        <v>166</v>
      </c>
      <c r="B92" s="72" t="s">
        <v>49</v>
      </c>
      <c r="C92" s="308">
        <v>6.7000000000000004E-2</v>
      </c>
      <c r="D92" s="309">
        <v>0.63729999999999998</v>
      </c>
      <c r="E92" s="310">
        <v>0.65</v>
      </c>
      <c r="F92" s="310">
        <v>0.35129049661183626</v>
      </c>
      <c r="G92" s="341">
        <v>2014</v>
      </c>
      <c r="H92" s="342" t="str">
        <f t="shared" si="6"/>
        <v>£m 09/10</v>
      </c>
      <c r="I92" s="342" t="s">
        <v>262</v>
      </c>
      <c r="J92" s="425" t="s">
        <v>469</v>
      </c>
      <c r="K92" s="435">
        <f t="shared" si="16"/>
        <v>2.92E-2</v>
      </c>
      <c r="L92" s="433">
        <f t="shared" si="16"/>
        <v>2.7199999999999998E-2</v>
      </c>
      <c r="M92" s="433">
        <f t="shared" si="16"/>
        <v>2.5499999999999998E-2</v>
      </c>
      <c r="N92" s="433">
        <f t="shared" si="16"/>
        <v>2.3800000000000002E-2</v>
      </c>
      <c r="O92" s="433">
        <f t="shared" si="16"/>
        <v>2.2200000000000001E-2</v>
      </c>
      <c r="P92" s="433">
        <f t="shared" si="16"/>
        <v>1.9099999999999999E-2</v>
      </c>
      <c r="Q92" s="433">
        <f t="shared" si="16"/>
        <v>1.5800000000000002E-2</v>
      </c>
      <c r="R92" s="433">
        <f t="shared" si="16"/>
        <v>1.09E-2</v>
      </c>
      <c r="S92" s="551"/>
      <c r="T92" s="552"/>
    </row>
    <row r="93" spans="1:20">
      <c r="A93" s="60" t="s">
        <v>166</v>
      </c>
      <c r="B93" s="72" t="s">
        <v>48</v>
      </c>
      <c r="C93" s="308">
        <v>6.7000000000000004E-2</v>
      </c>
      <c r="D93" s="309">
        <v>0.63729999999999998</v>
      </c>
      <c r="E93" s="310">
        <v>0.65</v>
      </c>
      <c r="F93" s="310">
        <v>0.32230855902021693</v>
      </c>
      <c r="G93" s="341">
        <v>2014</v>
      </c>
      <c r="H93" s="342" t="str">
        <f t="shared" si="6"/>
        <v>£m 09/10</v>
      </c>
      <c r="I93" s="342" t="s">
        <v>262</v>
      </c>
      <c r="J93" s="425" t="s">
        <v>469</v>
      </c>
      <c r="K93" s="435">
        <f t="shared" si="16"/>
        <v>2.92E-2</v>
      </c>
      <c r="L93" s="433">
        <f t="shared" si="16"/>
        <v>2.7199999999999998E-2</v>
      </c>
      <c r="M93" s="433">
        <f t="shared" si="16"/>
        <v>2.5499999999999998E-2</v>
      </c>
      <c r="N93" s="433">
        <f t="shared" si="16"/>
        <v>2.3800000000000002E-2</v>
      </c>
      <c r="O93" s="433">
        <f t="shared" si="16"/>
        <v>2.2200000000000001E-2</v>
      </c>
      <c r="P93" s="433">
        <f t="shared" si="16"/>
        <v>1.9099999999999999E-2</v>
      </c>
      <c r="Q93" s="433">
        <f t="shared" si="16"/>
        <v>1.5800000000000002E-2</v>
      </c>
      <c r="R93" s="433">
        <f t="shared" si="16"/>
        <v>1.09E-2</v>
      </c>
      <c r="S93" s="551"/>
      <c r="T93" s="552"/>
    </row>
    <row r="94" spans="1:20">
      <c r="A94" s="60" t="s">
        <v>166</v>
      </c>
      <c r="B94" s="72" t="s">
        <v>46</v>
      </c>
      <c r="C94" s="308">
        <v>6.7000000000000004E-2</v>
      </c>
      <c r="D94" s="309">
        <v>0.63170000000000004</v>
      </c>
      <c r="E94" s="310">
        <v>0.65</v>
      </c>
      <c r="F94" s="310">
        <v>0.35781904469402892</v>
      </c>
      <c r="G94" s="341">
        <v>2014</v>
      </c>
      <c r="H94" s="342" t="str">
        <f t="shared" si="6"/>
        <v>£m 09/10</v>
      </c>
      <c r="I94" s="342" t="s">
        <v>262</v>
      </c>
      <c r="J94" s="425" t="s">
        <v>469</v>
      </c>
      <c r="K94" s="435">
        <f t="shared" si="16"/>
        <v>2.92E-2</v>
      </c>
      <c r="L94" s="433">
        <f t="shared" si="16"/>
        <v>2.7199999999999998E-2</v>
      </c>
      <c r="M94" s="433">
        <f t="shared" si="16"/>
        <v>2.5499999999999998E-2</v>
      </c>
      <c r="N94" s="433">
        <f t="shared" si="16"/>
        <v>2.3800000000000002E-2</v>
      </c>
      <c r="O94" s="433">
        <f t="shared" si="16"/>
        <v>2.2200000000000001E-2</v>
      </c>
      <c r="P94" s="433">
        <f t="shared" si="16"/>
        <v>1.9099999999999999E-2</v>
      </c>
      <c r="Q94" s="433">
        <f t="shared" si="16"/>
        <v>1.5800000000000002E-2</v>
      </c>
      <c r="R94" s="433">
        <f t="shared" si="16"/>
        <v>1.09E-2</v>
      </c>
      <c r="S94" s="551"/>
      <c r="T94" s="552"/>
    </row>
    <row r="95" spans="1:20">
      <c r="A95" s="60" t="s">
        <v>168</v>
      </c>
      <c r="B95" s="72" t="s">
        <v>110</v>
      </c>
      <c r="C95" s="308">
        <v>6.8000000000000005E-2</v>
      </c>
      <c r="D95" s="309">
        <v>0.44359999999999999</v>
      </c>
      <c r="E95" s="310">
        <v>0.625</v>
      </c>
      <c r="F95" s="310">
        <v>0.64400000000000002</v>
      </c>
      <c r="G95" s="341">
        <v>2014</v>
      </c>
      <c r="H95" s="342" t="str">
        <f t="shared" si="6"/>
        <v>£m 09/10</v>
      </c>
      <c r="I95" s="342" t="s">
        <v>262</v>
      </c>
      <c r="J95" s="425" t="s">
        <v>469</v>
      </c>
      <c r="K95" s="435">
        <f t="shared" ref="K95:R96" si="17">C$68</f>
        <v>2.92E-2</v>
      </c>
      <c r="L95" s="433">
        <f t="shared" si="17"/>
        <v>2.7199999999999998E-2</v>
      </c>
      <c r="M95" s="433">
        <f t="shared" si="17"/>
        <v>2.5499999999999998E-2</v>
      </c>
      <c r="N95" s="433">
        <f t="shared" si="17"/>
        <v>2.3800000000000002E-2</v>
      </c>
      <c r="O95" s="433">
        <f t="shared" si="17"/>
        <v>2.2200000000000001E-2</v>
      </c>
      <c r="P95" s="433">
        <f t="shared" si="17"/>
        <v>1.9099999999999999E-2</v>
      </c>
      <c r="Q95" s="433">
        <f t="shared" si="17"/>
        <v>1.5800000000000002E-2</v>
      </c>
      <c r="R95" s="433">
        <f t="shared" si="17"/>
        <v>1.09E-2</v>
      </c>
      <c r="S95" s="551"/>
      <c r="T95" s="552"/>
    </row>
    <row r="96" spans="1:20">
      <c r="A96" s="60" t="s">
        <v>168</v>
      </c>
      <c r="B96" s="72" t="s">
        <v>111</v>
      </c>
      <c r="C96" s="308">
        <v>6.8000000000000005E-2</v>
      </c>
      <c r="D96" s="309">
        <v>0.44359999999999999</v>
      </c>
      <c r="E96" s="310">
        <v>0.625</v>
      </c>
      <c r="F96" s="310">
        <v>0.374</v>
      </c>
      <c r="G96" s="341">
        <v>2014</v>
      </c>
      <c r="H96" s="342" t="str">
        <f t="shared" si="6"/>
        <v>£m 09/10</v>
      </c>
      <c r="I96" s="342" t="s">
        <v>262</v>
      </c>
      <c r="J96" s="425" t="s">
        <v>469</v>
      </c>
      <c r="K96" s="435">
        <f t="shared" si="17"/>
        <v>2.92E-2</v>
      </c>
      <c r="L96" s="433">
        <f t="shared" si="17"/>
        <v>2.7199999999999998E-2</v>
      </c>
      <c r="M96" s="433">
        <f t="shared" si="17"/>
        <v>2.5499999999999998E-2</v>
      </c>
      <c r="N96" s="433">
        <f t="shared" si="17"/>
        <v>2.3800000000000002E-2</v>
      </c>
      <c r="O96" s="433">
        <f t="shared" si="17"/>
        <v>2.2200000000000001E-2</v>
      </c>
      <c r="P96" s="433">
        <f t="shared" si="17"/>
        <v>1.9099999999999999E-2</v>
      </c>
      <c r="Q96" s="433">
        <f t="shared" si="17"/>
        <v>1.5800000000000002E-2</v>
      </c>
      <c r="R96" s="433">
        <f t="shared" si="17"/>
        <v>1.09E-2</v>
      </c>
      <c r="S96" s="551"/>
      <c r="T96" s="552"/>
    </row>
    <row r="97" spans="1:20">
      <c r="A97" s="60" t="s">
        <v>167</v>
      </c>
      <c r="B97" s="72" t="s">
        <v>108</v>
      </c>
      <c r="C97" s="308">
        <v>7.0000000000000007E-2</v>
      </c>
      <c r="D97" s="309">
        <v>0.46889999999999998</v>
      </c>
      <c r="E97" s="310">
        <v>0.6</v>
      </c>
      <c r="F97" s="310">
        <v>0.85</v>
      </c>
      <c r="G97" s="341">
        <v>2014</v>
      </c>
      <c r="H97" s="342" t="str">
        <f t="shared" si="6"/>
        <v>£m 09/10</v>
      </c>
      <c r="I97" s="342" t="s">
        <v>262</v>
      </c>
      <c r="J97" s="425" t="s">
        <v>469</v>
      </c>
      <c r="K97" s="435">
        <f t="shared" ref="K97:R99" si="18">C$66</f>
        <v>2.92E-2</v>
      </c>
      <c r="L97" s="433">
        <f t="shared" si="18"/>
        <v>2.7199999999999998E-2</v>
      </c>
      <c r="M97" s="433">
        <f t="shared" si="18"/>
        <v>2.5499999999999998E-2</v>
      </c>
      <c r="N97" s="433">
        <f t="shared" si="18"/>
        <v>2.3800000000000002E-2</v>
      </c>
      <c r="O97" s="433">
        <f t="shared" si="18"/>
        <v>2.2200000000000001E-2</v>
      </c>
      <c r="P97" s="433">
        <f t="shared" si="18"/>
        <v>1.9099999999999999E-2</v>
      </c>
      <c r="Q97" s="433">
        <f t="shared" si="18"/>
        <v>1.5800000000000002E-2</v>
      </c>
      <c r="R97" s="433">
        <f t="shared" si="18"/>
        <v>1.09E-2</v>
      </c>
      <c r="S97" s="551"/>
      <c r="T97" s="552"/>
    </row>
    <row r="98" spans="1:20">
      <c r="A98" s="60" t="s">
        <v>167</v>
      </c>
      <c r="B98" s="72" t="s">
        <v>562</v>
      </c>
      <c r="C98" s="308">
        <v>7.0000000000000007E-2</v>
      </c>
      <c r="D98" s="309">
        <v>0.46889999999999998</v>
      </c>
      <c r="E98" s="310">
        <v>0.6</v>
      </c>
      <c r="F98" s="310">
        <v>0.27900000000000003</v>
      </c>
      <c r="G98" s="327">
        <v>2014</v>
      </c>
      <c r="H98" s="328" t="str">
        <f>VLOOKUP($A98,$E$54:$F$57,2,FALSE)</f>
        <v>£m 09/10</v>
      </c>
      <c r="I98" s="325" t="s">
        <v>262</v>
      </c>
      <c r="J98" s="425" t="s">
        <v>469</v>
      </c>
      <c r="K98" s="435">
        <f t="shared" si="18"/>
        <v>2.92E-2</v>
      </c>
      <c r="L98" s="433">
        <f t="shared" si="18"/>
        <v>2.7199999999999998E-2</v>
      </c>
      <c r="M98" s="433">
        <f t="shared" si="18"/>
        <v>2.5499999999999998E-2</v>
      </c>
      <c r="N98" s="433">
        <f t="shared" si="18"/>
        <v>2.3800000000000002E-2</v>
      </c>
      <c r="O98" s="433">
        <f t="shared" si="18"/>
        <v>2.2200000000000001E-2</v>
      </c>
      <c r="P98" s="433">
        <f t="shared" si="18"/>
        <v>1.9099999999999999E-2</v>
      </c>
      <c r="Q98" s="433">
        <f t="shared" si="18"/>
        <v>1.5800000000000002E-2</v>
      </c>
      <c r="R98" s="433">
        <f t="shared" si="18"/>
        <v>1.09E-2</v>
      </c>
      <c r="S98" s="551"/>
      <c r="T98" s="552"/>
    </row>
    <row r="99" spans="1:20">
      <c r="A99" s="60" t="s">
        <v>167</v>
      </c>
      <c r="B99" s="72" t="s">
        <v>57</v>
      </c>
      <c r="C99" s="308">
        <v>7.0000000000000007E-2</v>
      </c>
      <c r="D99" s="309">
        <v>0.5</v>
      </c>
      <c r="E99" s="310">
        <v>0.55000000000000004</v>
      </c>
      <c r="F99" s="310">
        <v>0.9</v>
      </c>
      <c r="G99" s="327">
        <v>2014</v>
      </c>
      <c r="H99" s="328" t="str">
        <f>VLOOKUP($A99,$E$54:$F$57,2,FALSE)</f>
        <v>£m 09/10</v>
      </c>
      <c r="I99" s="325" t="s">
        <v>263</v>
      </c>
      <c r="J99" s="425" t="s">
        <v>469</v>
      </c>
      <c r="K99" s="435">
        <f t="shared" si="18"/>
        <v>2.92E-2</v>
      </c>
      <c r="L99" s="433">
        <f t="shared" si="18"/>
        <v>2.7199999999999998E-2</v>
      </c>
      <c r="M99" s="433">
        <f t="shared" si="18"/>
        <v>2.5499999999999998E-2</v>
      </c>
      <c r="N99" s="433">
        <f t="shared" si="18"/>
        <v>2.3800000000000002E-2</v>
      </c>
      <c r="O99" s="433">
        <f t="shared" si="18"/>
        <v>2.2200000000000001E-2</v>
      </c>
      <c r="P99" s="433">
        <f t="shared" si="18"/>
        <v>1.9099999999999999E-2</v>
      </c>
      <c r="Q99" s="433">
        <f t="shared" si="18"/>
        <v>1.5800000000000002E-2</v>
      </c>
      <c r="R99" s="433">
        <f t="shared" si="18"/>
        <v>1.09E-2</v>
      </c>
      <c r="S99" s="551"/>
      <c r="T99" s="552"/>
    </row>
    <row r="100" spans="1:20">
      <c r="A100" s="60" t="s">
        <v>167</v>
      </c>
      <c r="B100" s="73" t="s">
        <v>58</v>
      </c>
      <c r="C100" s="311">
        <v>7.0000000000000007E-2</v>
      </c>
      <c r="D100" s="312">
        <v>0.5</v>
      </c>
      <c r="E100" s="313">
        <v>0.55000000000000004</v>
      </c>
      <c r="F100" s="313">
        <v>0.9</v>
      </c>
      <c r="G100" s="329">
        <v>2014</v>
      </c>
      <c r="H100" s="330" t="str">
        <f>VLOOKUP($A100,$E$54:$F$57,2,FALSE)</f>
        <v>£m 09/10</v>
      </c>
      <c r="I100" s="326" t="s">
        <v>263</v>
      </c>
      <c r="J100" s="425" t="s">
        <v>469</v>
      </c>
      <c r="K100" s="436">
        <f t="shared" ref="K100:R100" si="19">C$65</f>
        <v>2.92E-2</v>
      </c>
      <c r="L100" s="434">
        <f t="shared" si="19"/>
        <v>2.5000000000000001E-2</v>
      </c>
      <c r="M100" s="434">
        <f t="shared" si="19"/>
        <v>2.1499999999999998E-2</v>
      </c>
      <c r="N100" s="434">
        <f t="shared" si="19"/>
        <v>1.7899999999999999E-2</v>
      </c>
      <c r="O100" s="434">
        <f t="shared" si="19"/>
        <v>1.5100000000000001E-2</v>
      </c>
      <c r="P100" s="434">
        <f t="shared" si="19"/>
        <v>1.1599999999999999E-2</v>
      </c>
      <c r="Q100" s="434">
        <f t="shared" si="19"/>
        <v>1.0200000000000001E-2</v>
      </c>
      <c r="R100" s="434">
        <f t="shared" si="19"/>
        <v>7.6E-3</v>
      </c>
      <c r="S100" s="553"/>
      <c r="T100" s="554"/>
    </row>
    <row r="101" spans="1:20">
      <c r="I101" s="67"/>
    </row>
    <row r="102" spans="1:20">
      <c r="I102" s="67"/>
    </row>
    <row r="103" spans="1:20">
      <c r="I103" s="67"/>
    </row>
    <row r="104" spans="1:20" ht="13.5">
      <c r="B104" s="14" t="s">
        <v>243</v>
      </c>
      <c r="D104" s="299"/>
      <c r="E104" s="299"/>
      <c r="F104" s="299"/>
      <c r="G104" s="299"/>
      <c r="H104" s="299"/>
      <c r="I104" s="299"/>
      <c r="J104" s="299"/>
    </row>
    <row r="105" spans="1:20">
      <c r="B105" s="14"/>
      <c r="C105" s="118">
        <v>2014</v>
      </c>
      <c r="D105" s="119">
        <f>C105+1</f>
        <v>2015</v>
      </c>
      <c r="E105" s="119">
        <f t="shared" ref="E105:J105" si="20">D105+1</f>
        <v>2016</v>
      </c>
      <c r="F105" s="119">
        <f>E105+1</f>
        <v>2017</v>
      </c>
      <c r="G105" s="119">
        <f t="shared" si="20"/>
        <v>2018</v>
      </c>
      <c r="H105" s="119">
        <f t="shared" si="20"/>
        <v>2019</v>
      </c>
      <c r="I105" s="119">
        <f t="shared" si="20"/>
        <v>2020</v>
      </c>
      <c r="J105" s="119">
        <f t="shared" si="20"/>
        <v>2021</v>
      </c>
    </row>
    <row r="106" spans="1:20">
      <c r="B106" s="303" t="s">
        <v>50</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51</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52</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53</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47</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49</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48</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8" t="s">
        <v>46</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4" t="s">
        <v>110</v>
      </c>
      <c r="C114" s="220">
        <v>0.9</v>
      </c>
      <c r="D114" s="220">
        <v>0.9</v>
      </c>
      <c r="E114" s="220">
        <v>0.9</v>
      </c>
      <c r="F114" s="220">
        <v>0.9</v>
      </c>
      <c r="G114" s="220">
        <v>0.9</v>
      </c>
      <c r="H114" s="220">
        <v>0.9</v>
      </c>
      <c r="I114" s="220">
        <v>0.9</v>
      </c>
      <c r="J114" s="221">
        <v>0.9</v>
      </c>
    </row>
    <row r="115" spans="2:15">
      <c r="B115" s="305" t="s">
        <v>111</v>
      </c>
      <c r="C115" s="558"/>
      <c r="D115" s="558"/>
      <c r="E115" s="558"/>
      <c r="F115" s="558"/>
      <c r="G115" s="558"/>
      <c r="H115" s="558"/>
      <c r="I115" s="558"/>
      <c r="J115" s="558"/>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207</v>
      </c>
      <c r="C118" s="118">
        <v>2014</v>
      </c>
      <c r="D118" s="119">
        <f t="shared" ref="D118:L118" si="21">C118+1</f>
        <v>2015</v>
      </c>
      <c r="E118" s="119">
        <f t="shared" si="21"/>
        <v>2016</v>
      </c>
      <c r="F118" s="119">
        <f t="shared" si="21"/>
        <v>2017</v>
      </c>
      <c r="G118" s="119">
        <f t="shared" si="21"/>
        <v>2018</v>
      </c>
      <c r="H118" s="119">
        <f t="shared" si="21"/>
        <v>2019</v>
      </c>
      <c r="I118" s="119">
        <f t="shared" si="21"/>
        <v>2020</v>
      </c>
      <c r="J118" s="119">
        <f t="shared" si="21"/>
        <v>2021</v>
      </c>
      <c r="K118" s="119">
        <f t="shared" si="21"/>
        <v>2022</v>
      </c>
      <c r="L118" s="196">
        <f t="shared" si="21"/>
        <v>2023</v>
      </c>
      <c r="M118" s="31"/>
      <c r="N118" s="31"/>
      <c r="O118" s="31"/>
    </row>
    <row r="119" spans="2:15">
      <c r="B119" s="460" t="s">
        <v>40</v>
      </c>
      <c r="C119" s="555"/>
      <c r="D119" s="556"/>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41</v>
      </c>
      <c r="C120" s="557"/>
      <c r="D120" s="558"/>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70</v>
      </c>
      <c r="C121" s="557"/>
      <c r="D121" s="558"/>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56</v>
      </c>
      <c r="C122" s="557"/>
      <c r="D122" s="558"/>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54</v>
      </c>
      <c r="C123" s="557"/>
      <c r="D123" s="558"/>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55</v>
      </c>
      <c r="C124" s="557"/>
      <c r="D124" s="558"/>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42</v>
      </c>
      <c r="C125" s="557"/>
      <c r="D125" s="558"/>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43</v>
      </c>
      <c r="C126" s="557"/>
      <c r="D126" s="558"/>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44</v>
      </c>
      <c r="C127" s="557"/>
      <c r="D127" s="558"/>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45</v>
      </c>
      <c r="C128" s="557"/>
      <c r="D128" s="558"/>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239</v>
      </c>
      <c r="C129" s="557"/>
      <c r="D129" s="558"/>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240</v>
      </c>
      <c r="C130" s="557"/>
      <c r="D130" s="558"/>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241</v>
      </c>
      <c r="C131" s="557"/>
      <c r="D131" s="558"/>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242</v>
      </c>
      <c r="C132" s="557"/>
      <c r="D132" s="558"/>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50</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58"/>
      <c r="L133" s="559"/>
      <c r="M133" s="31"/>
      <c r="N133" s="31"/>
      <c r="O133" s="31"/>
    </row>
    <row r="134" spans="2:15">
      <c r="B134" s="460" t="s">
        <v>51</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58"/>
      <c r="L134" s="559"/>
      <c r="M134" s="31"/>
      <c r="N134" s="31"/>
      <c r="O134" s="31"/>
    </row>
    <row r="135" spans="2:15">
      <c r="B135" s="460" t="s">
        <v>52</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58"/>
      <c r="L135" s="559"/>
      <c r="M135" s="31"/>
      <c r="N135" s="31"/>
      <c r="O135" s="31"/>
    </row>
    <row r="136" spans="2:15">
      <c r="B136" s="460" t="s">
        <v>53</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58"/>
      <c r="L136" s="559"/>
      <c r="M136" s="31"/>
      <c r="N136" s="31"/>
      <c r="O136" s="31"/>
    </row>
    <row r="137" spans="2:15">
      <c r="B137" s="460" t="s">
        <v>47</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58"/>
      <c r="L137" s="559"/>
      <c r="M137" s="31"/>
      <c r="N137" s="31"/>
      <c r="O137" s="31"/>
    </row>
    <row r="138" spans="2:15">
      <c r="B138" s="460" t="s">
        <v>49</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58"/>
      <c r="L138" s="559"/>
      <c r="M138" s="31"/>
      <c r="N138" s="31"/>
      <c r="O138" s="31"/>
    </row>
    <row r="139" spans="2:15">
      <c r="B139" s="460" t="s">
        <v>48</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58"/>
      <c r="L139" s="559"/>
      <c r="M139" s="31"/>
      <c r="N139" s="31"/>
      <c r="O139" s="31"/>
    </row>
    <row r="140" spans="2:15">
      <c r="B140" s="460" t="s">
        <v>46</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58"/>
      <c r="L140" s="559"/>
      <c r="M140" s="31"/>
      <c r="N140" s="31"/>
      <c r="O140" s="31"/>
    </row>
    <row r="141" spans="2:15">
      <c r="B141" s="460" t="s">
        <v>110</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58"/>
      <c r="L141" s="559"/>
      <c r="M141" s="31"/>
      <c r="N141" s="31"/>
      <c r="O141" s="31"/>
    </row>
    <row r="142" spans="2:15">
      <c r="B142" s="460" t="s">
        <v>111</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58"/>
      <c r="L142" s="559"/>
      <c r="M142" s="31"/>
      <c r="N142" s="31"/>
      <c r="O142" s="31"/>
    </row>
    <row r="143" spans="2:15">
      <c r="B143" s="460" t="s">
        <v>108</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58"/>
      <c r="L143" s="559"/>
      <c r="M143" s="31"/>
      <c r="N143" s="31"/>
      <c r="O143" s="31"/>
    </row>
    <row r="144" spans="2:15">
      <c r="B144" s="460" t="s">
        <v>109</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58"/>
      <c r="L144" s="559"/>
      <c r="M144" s="31"/>
      <c r="N144" s="31"/>
      <c r="O144" s="31"/>
    </row>
    <row r="145" spans="1:15">
      <c r="B145" s="460" t="s">
        <v>57</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58"/>
      <c r="L145" s="559"/>
      <c r="M145" s="31"/>
      <c r="N145" s="31"/>
      <c r="O145" s="31"/>
    </row>
    <row r="146" spans="1:15">
      <c r="B146" s="461" t="s">
        <v>58</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6"/>
      <c r="B150" s="457" t="s">
        <v>392</v>
      </c>
      <c r="C150" s="458"/>
      <c r="D150" s="458"/>
      <c r="E150" s="458"/>
      <c r="F150" s="456"/>
      <c r="G150" s="456"/>
      <c r="H150" s="456"/>
      <c r="I150" s="456"/>
      <c r="J150" s="456"/>
      <c r="K150" s="456"/>
      <c r="L150" s="456"/>
      <c r="M150" s="456"/>
      <c r="N150" s="456"/>
    </row>
    <row r="151" spans="1:15" s="31" customFormat="1" ht="14.25" customHeight="1">
      <c r="A151" s="750"/>
      <c r="B151" s="751"/>
      <c r="C151" s="752"/>
      <c r="D151" s="752"/>
      <c r="E151" s="752"/>
      <c r="F151" s="753"/>
      <c r="G151" s="753"/>
      <c r="H151" s="753"/>
      <c r="I151" s="753"/>
      <c r="J151" s="753"/>
      <c r="K151" s="753"/>
      <c r="L151" s="753"/>
      <c r="M151" s="753"/>
      <c r="N151" s="753"/>
    </row>
    <row r="152" spans="1:15">
      <c r="A152" s="204"/>
      <c r="B152" s="754" t="s">
        <v>398</v>
      </c>
      <c r="C152" s="207"/>
      <c r="D152" s="207"/>
      <c r="E152" s="755" t="b">
        <f>OR((LEFT('RFPR cover'!$C$6,2)=Data!F152),'RFPR cover'!$C$5=Data!F152)</f>
        <v>1</v>
      </c>
      <c r="F152" s="365" t="str">
        <f>B162</f>
        <v>ED</v>
      </c>
      <c r="G152" s="756"/>
    </row>
    <row r="153" spans="1:15">
      <c r="A153" s="204"/>
      <c r="B153" s="771" t="str">
        <f>CHOOSE(MATCH(TRUE,$E$152:$E$159,0),B163,B173,B183,E183,B193,E193,B203,E203)&amp;""</f>
        <v>Broad measure of customer service</v>
      </c>
      <c r="C153" s="207"/>
      <c r="D153" s="207"/>
      <c r="E153" s="757" t="b">
        <f>OR((LEFT('RFPR cover'!$C$6,2)=Data!F153),'RFPR cover'!$C$5=Data!F153)</f>
        <v>0</v>
      </c>
      <c r="F153" s="366" t="str">
        <f>B172</f>
        <v>GD</v>
      </c>
      <c r="G153" s="203"/>
    </row>
    <row r="154" spans="1:15" ht="25.5">
      <c r="A154" s="204"/>
      <c r="B154" s="772" t="str">
        <f t="shared" ref="B154:B160" si="22">CHOOSE(MATCH(TRUE,$E$152:$E$159,0),B164,B174,B184,E184,B194,E194,B204,E204)&amp;""</f>
        <v>Interruptions-related quality of service</v>
      </c>
      <c r="C154" s="207"/>
      <c r="D154" s="207"/>
      <c r="E154" s="757" t="b">
        <f>OR((LEFT('RFPR cover'!$C$6,2)=Data!F154),'RFPR cover'!$C$5=Data!F154)</f>
        <v>0</v>
      </c>
      <c r="F154" s="770" t="str">
        <f>B182</f>
        <v>NGGT (TO)</v>
      </c>
      <c r="G154" s="203"/>
    </row>
    <row r="155" spans="1:15">
      <c r="A155" s="204"/>
      <c r="B155" s="772" t="str">
        <f t="shared" si="22"/>
        <v>Incentive on connections engagement</v>
      </c>
      <c r="C155" s="207"/>
      <c r="D155" s="207"/>
      <c r="E155" s="757" t="b">
        <f>OR((LEFT('RFPR cover'!$C$6,2)=Data!F155),'RFPR cover'!$C$5=Data!F155)</f>
        <v>0</v>
      </c>
      <c r="F155" s="758" t="str">
        <f>E182</f>
        <v>NGGT (SO)</v>
      </c>
      <c r="G155" s="203"/>
    </row>
    <row r="156" spans="1:15">
      <c r="A156" s="204"/>
      <c r="B156" s="772" t="str">
        <f t="shared" si="22"/>
        <v>Time to Connect Incentive</v>
      </c>
      <c r="C156" s="207"/>
      <c r="D156" s="207"/>
      <c r="E156" s="757" t="b">
        <f>OR((LEFT('RFPR cover'!$C$6,2)=Data!F156),'RFPR cover'!$C$5=Data!F156)</f>
        <v>0</v>
      </c>
      <c r="F156" s="758" t="str">
        <f>B192</f>
        <v>NGET (TO)</v>
      </c>
      <c r="G156" s="203"/>
    </row>
    <row r="157" spans="1:15">
      <c r="A157" s="204"/>
      <c r="B157" s="773" t="str">
        <f t="shared" si="22"/>
        <v>Losses discretionary reward scheme</v>
      </c>
      <c r="C157" s="207"/>
      <c r="D157" s="207"/>
      <c r="E157" s="757" t="b">
        <f>OR((LEFT('RFPR cover'!$C$6,2)=Data!F157),'RFPR cover'!$C$5=Data!F157)</f>
        <v>0</v>
      </c>
      <c r="F157" s="758" t="str">
        <f>E192</f>
        <v>NGESO</v>
      </c>
      <c r="G157" s="203"/>
    </row>
    <row r="158" spans="1:15">
      <c r="A158" s="204"/>
      <c r="B158" s="773" t="str">
        <f t="shared" si="22"/>
        <v/>
      </c>
      <c r="C158" s="207"/>
      <c r="D158" s="207"/>
      <c r="E158" s="757" t="b">
        <f>OR((LEFT('RFPR cover'!$C$6,2)=Data!F158),'RFPR cover'!$C$5=Data!F158)</f>
        <v>0</v>
      </c>
      <c r="F158" s="758" t="str">
        <f>B202</f>
        <v>SPT</v>
      </c>
      <c r="G158" s="203"/>
    </row>
    <row r="159" spans="1:15">
      <c r="A159" s="204"/>
      <c r="B159" s="773" t="str">
        <f t="shared" si="22"/>
        <v/>
      </c>
      <c r="C159" s="207"/>
      <c r="D159" s="207"/>
      <c r="E159" s="759" t="b">
        <f>OR((LEFT('RFPR cover'!$C$6,2)=Data!F159),'RFPR cover'!$C$5=Data!F159)</f>
        <v>0</v>
      </c>
      <c r="F159" s="760" t="str">
        <f>E202</f>
        <v>SHET</v>
      </c>
      <c r="G159" s="298"/>
    </row>
    <row r="160" spans="1:15">
      <c r="A160" s="204"/>
      <c r="B160" s="207" t="str">
        <f t="shared" si="22"/>
        <v/>
      </c>
      <c r="C160" s="207"/>
      <c r="D160" s="207"/>
      <c r="E160" s="59"/>
      <c r="F160" s="758"/>
      <c r="G160" s="42"/>
    </row>
    <row r="161" spans="1:7">
      <c r="A161" s="204"/>
      <c r="B161" s="207"/>
      <c r="C161" s="207"/>
      <c r="D161" s="207"/>
      <c r="E161" s="59"/>
      <c r="F161" s="758"/>
      <c r="G161" s="42"/>
    </row>
    <row r="162" spans="1:7" ht="12" customHeight="1">
      <c r="A162" s="204"/>
      <c r="B162" s="1022" t="s">
        <v>165</v>
      </c>
      <c r="C162" s="1018"/>
      <c r="D162" s="207"/>
      <c r="E162" s="207"/>
    </row>
    <row r="163" spans="1:7">
      <c r="A163" s="204"/>
      <c r="B163" s="1023" t="s">
        <v>393</v>
      </c>
      <c r="C163" s="1024"/>
      <c r="D163" s="207"/>
      <c r="E163" s="207"/>
    </row>
    <row r="164" spans="1:7">
      <c r="A164" s="204"/>
      <c r="B164" s="1023" t="s">
        <v>394</v>
      </c>
      <c r="C164" s="1024"/>
      <c r="D164" s="207"/>
      <c r="E164" s="207"/>
    </row>
    <row r="165" spans="1:7">
      <c r="A165" s="204"/>
      <c r="B165" s="1025" t="s">
        <v>395</v>
      </c>
      <c r="C165" s="1026"/>
      <c r="D165" s="207"/>
      <c r="E165" s="207"/>
    </row>
    <row r="166" spans="1:7">
      <c r="A166" s="204"/>
      <c r="B166" s="1025" t="s">
        <v>396</v>
      </c>
      <c r="C166" s="1026"/>
      <c r="D166" s="207"/>
      <c r="E166" s="207"/>
    </row>
    <row r="167" spans="1:7">
      <c r="A167" s="204"/>
      <c r="B167" s="1025" t="s">
        <v>397</v>
      </c>
      <c r="C167" s="1026"/>
      <c r="D167" s="207"/>
      <c r="E167" s="207"/>
    </row>
    <row r="168" spans="1:7">
      <c r="A168" s="204"/>
      <c r="B168" s="1025"/>
      <c r="C168" s="1026"/>
      <c r="D168" s="207"/>
      <c r="E168" s="207"/>
    </row>
    <row r="169" spans="1:7">
      <c r="A169" s="204"/>
      <c r="B169" s="1025"/>
      <c r="C169" s="1026"/>
      <c r="D169" s="207"/>
      <c r="E169" s="207"/>
    </row>
    <row r="170" spans="1:7">
      <c r="A170" s="204"/>
      <c r="B170" s="207"/>
      <c r="C170" s="207"/>
      <c r="D170" s="207"/>
      <c r="E170" s="207"/>
    </row>
    <row r="171" spans="1:7">
      <c r="A171" s="204"/>
      <c r="B171" s="207"/>
      <c r="C171" s="207"/>
      <c r="D171" s="207"/>
      <c r="E171" s="207"/>
    </row>
    <row r="172" spans="1:7">
      <c r="A172" s="204"/>
      <c r="B172" s="1022" t="s">
        <v>166</v>
      </c>
      <c r="C172" s="1018"/>
      <c r="D172" s="207"/>
      <c r="E172" s="207"/>
    </row>
    <row r="173" spans="1:7" ht="12.75" customHeight="1">
      <c r="A173" s="204"/>
      <c r="B173" s="1019" t="s">
        <v>216</v>
      </c>
      <c r="C173" s="1021"/>
      <c r="D173" s="207"/>
      <c r="E173" s="207"/>
    </row>
    <row r="174" spans="1:7" ht="12.75" customHeight="1">
      <c r="A174" s="204"/>
      <c r="B174" s="1013" t="s">
        <v>217</v>
      </c>
      <c r="C174" s="1015"/>
      <c r="D174" s="207"/>
      <c r="E174" s="207"/>
    </row>
    <row r="175" spans="1:7" ht="12.75" customHeight="1">
      <c r="A175" s="204"/>
      <c r="B175" s="1013" t="s">
        <v>218</v>
      </c>
      <c r="C175" s="1015"/>
      <c r="D175" s="207"/>
      <c r="E175" s="207"/>
    </row>
    <row r="176" spans="1:7" ht="12.75" customHeight="1">
      <c r="A176" s="204"/>
      <c r="B176" s="1013" t="s">
        <v>219</v>
      </c>
      <c r="C176" s="1015"/>
      <c r="D176" s="207"/>
      <c r="E176" s="207"/>
    </row>
    <row r="177" spans="1:9" ht="12.75" customHeight="1">
      <c r="A177" s="204"/>
      <c r="B177" s="1010" t="s">
        <v>300</v>
      </c>
      <c r="C177" s="1012"/>
      <c r="D177" s="207"/>
      <c r="E177" s="207"/>
    </row>
    <row r="178" spans="1:9" ht="12.75" customHeight="1">
      <c r="A178" s="204"/>
      <c r="B178" s="1010"/>
      <c r="C178" s="1012"/>
      <c r="D178" s="207"/>
      <c r="E178" s="207"/>
    </row>
    <row r="179" spans="1:9" ht="12.75" customHeight="1">
      <c r="A179" s="204"/>
      <c r="B179" s="1010"/>
      <c r="C179" s="1012"/>
      <c r="D179" s="207"/>
      <c r="E179" s="207"/>
    </row>
    <row r="180" spans="1:9">
      <c r="A180" s="204"/>
      <c r="B180" s="207"/>
      <c r="C180" s="207"/>
      <c r="D180" s="207"/>
      <c r="E180" s="207"/>
    </row>
    <row r="181" spans="1:9">
      <c r="A181" s="204"/>
      <c r="B181" s="207"/>
      <c r="C181" s="207"/>
      <c r="D181" s="207"/>
      <c r="E181" s="207"/>
    </row>
    <row r="182" spans="1:9">
      <c r="A182" s="204"/>
      <c r="B182" s="1016" t="str">
        <f>B95</f>
        <v>NGGT (TO)</v>
      </c>
      <c r="C182" s="1048"/>
      <c r="D182" s="207"/>
      <c r="E182" s="1016" t="str">
        <f>B96</f>
        <v>NGGT (SO)</v>
      </c>
      <c r="F182" s="1017"/>
      <c r="G182" s="1017"/>
      <c r="H182" s="1017"/>
      <c r="I182" s="1018"/>
    </row>
    <row r="183" spans="1:9" ht="12.4" customHeight="1">
      <c r="A183" s="204"/>
      <c r="B183" s="1019" t="s">
        <v>212</v>
      </c>
      <c r="C183" s="1021"/>
      <c r="D183" s="207"/>
      <c r="E183" s="1013" t="s">
        <v>541</v>
      </c>
      <c r="F183" s="1014" t="s">
        <v>541</v>
      </c>
      <c r="G183" s="1014" t="s">
        <v>541</v>
      </c>
      <c r="H183" s="1014" t="s">
        <v>541</v>
      </c>
      <c r="I183" s="1015" t="s">
        <v>541</v>
      </c>
    </row>
    <row r="184" spans="1:9" ht="12.4" customHeight="1">
      <c r="A184" s="204"/>
      <c r="B184" s="1013" t="s">
        <v>220</v>
      </c>
      <c r="C184" s="1015"/>
      <c r="D184" s="207"/>
      <c r="E184" s="1013" t="s">
        <v>542</v>
      </c>
      <c r="F184" s="1014" t="s">
        <v>542</v>
      </c>
      <c r="G184" s="1014" t="s">
        <v>542</v>
      </c>
      <c r="H184" s="1014" t="s">
        <v>542</v>
      </c>
      <c r="I184" s="1015" t="s">
        <v>542</v>
      </c>
    </row>
    <row r="185" spans="1:9" ht="12.4" customHeight="1">
      <c r="A185" s="204"/>
      <c r="B185" s="1013"/>
      <c r="C185" s="1015"/>
      <c r="D185" s="207"/>
      <c r="E185" s="1013" t="s">
        <v>543</v>
      </c>
      <c r="F185" s="1014" t="s">
        <v>543</v>
      </c>
      <c r="G185" s="1014" t="s">
        <v>543</v>
      </c>
      <c r="H185" s="1014" t="s">
        <v>543</v>
      </c>
      <c r="I185" s="1015" t="s">
        <v>543</v>
      </c>
    </row>
    <row r="186" spans="1:9" ht="12.4" customHeight="1">
      <c r="A186" s="204"/>
      <c r="B186" s="1013"/>
      <c r="C186" s="1015"/>
      <c r="D186" s="207"/>
      <c r="E186" s="1013" t="s">
        <v>544</v>
      </c>
      <c r="F186" s="1014" t="s">
        <v>544</v>
      </c>
      <c r="G186" s="1014" t="s">
        <v>544</v>
      </c>
      <c r="H186" s="1014" t="s">
        <v>544</v>
      </c>
      <c r="I186" s="1015" t="s">
        <v>544</v>
      </c>
    </row>
    <row r="187" spans="1:9" ht="12.4" customHeight="1">
      <c r="A187" s="204"/>
      <c r="B187" s="1010"/>
      <c r="C187" s="1012"/>
      <c r="D187" s="207"/>
      <c r="E187" s="1013" t="s">
        <v>545</v>
      </c>
      <c r="F187" s="1014" t="s">
        <v>545</v>
      </c>
      <c r="G187" s="1014" t="s">
        <v>545</v>
      </c>
      <c r="H187" s="1014" t="s">
        <v>545</v>
      </c>
      <c r="I187" s="1015" t="s">
        <v>545</v>
      </c>
    </row>
    <row r="188" spans="1:9" ht="12.4" customHeight="1">
      <c r="A188" s="204"/>
      <c r="B188" s="1010"/>
      <c r="C188" s="1012"/>
      <c r="D188" s="207"/>
      <c r="E188" s="1013" t="s">
        <v>546</v>
      </c>
      <c r="F188" s="1014" t="s">
        <v>546</v>
      </c>
      <c r="G188" s="1014" t="s">
        <v>546</v>
      </c>
      <c r="H188" s="1014" t="s">
        <v>546</v>
      </c>
      <c r="I188" s="1015" t="s">
        <v>546</v>
      </c>
    </row>
    <row r="189" spans="1:9" ht="12.4" customHeight="1">
      <c r="A189" s="204"/>
      <c r="B189" s="1010"/>
      <c r="C189" s="1012"/>
      <c r="D189" s="207"/>
      <c r="E189" s="1013" t="s">
        <v>547</v>
      </c>
      <c r="F189" s="1014" t="s">
        <v>547</v>
      </c>
      <c r="G189" s="1014" t="s">
        <v>547</v>
      </c>
      <c r="H189" s="1014" t="s">
        <v>547</v>
      </c>
      <c r="I189" s="1015" t="s">
        <v>547</v>
      </c>
    </row>
    <row r="190" spans="1:9">
      <c r="A190" s="204"/>
      <c r="B190" s="207"/>
      <c r="C190" s="207"/>
      <c r="D190" s="207"/>
      <c r="E190" s="207"/>
    </row>
    <row r="191" spans="1:9">
      <c r="A191" s="204"/>
      <c r="B191" s="207"/>
      <c r="C191" s="207"/>
      <c r="D191" s="207"/>
      <c r="E191" s="207"/>
    </row>
    <row r="192" spans="1:9">
      <c r="A192" s="204"/>
      <c r="B192" s="1016" t="str">
        <f>B97</f>
        <v>NGET (TO)</v>
      </c>
      <c r="C192" s="1048"/>
      <c r="D192" s="207"/>
      <c r="E192" s="1016" t="str">
        <f>B98</f>
        <v>NGESO</v>
      </c>
      <c r="F192" s="1017"/>
      <c r="G192" s="1017"/>
      <c r="H192" s="1017"/>
      <c r="I192" s="1018"/>
    </row>
    <row r="193" spans="1:9" ht="12.75" customHeight="1">
      <c r="A193" s="204"/>
      <c r="B193" s="1019" t="s">
        <v>211</v>
      </c>
      <c r="C193" s="1021"/>
      <c r="D193" s="207"/>
      <c r="E193" s="1013" t="s">
        <v>548</v>
      </c>
      <c r="F193" s="1014" t="s">
        <v>548</v>
      </c>
      <c r="G193" s="1014" t="s">
        <v>548</v>
      </c>
      <c r="H193" s="1014" t="s">
        <v>548</v>
      </c>
      <c r="I193" s="1015" t="s">
        <v>548</v>
      </c>
    </row>
    <row r="194" spans="1:9" ht="12.75" customHeight="1">
      <c r="A194" s="204"/>
      <c r="B194" s="1013" t="s">
        <v>212</v>
      </c>
      <c r="C194" s="1015"/>
      <c r="D194" s="207"/>
      <c r="E194" s="1013" t="s">
        <v>549</v>
      </c>
      <c r="F194" s="1014" t="s">
        <v>549</v>
      </c>
      <c r="G194" s="1014" t="s">
        <v>549</v>
      </c>
      <c r="H194" s="1014" t="s">
        <v>549</v>
      </c>
      <c r="I194" s="1015" t="s">
        <v>549</v>
      </c>
    </row>
    <row r="195" spans="1:9" ht="12.75" customHeight="1">
      <c r="A195" s="204"/>
      <c r="B195" s="1013" t="s">
        <v>213</v>
      </c>
      <c r="C195" s="1015"/>
      <c r="D195" s="207"/>
      <c r="E195" s="1013" t="s">
        <v>550</v>
      </c>
      <c r="F195" s="1014" t="s">
        <v>550</v>
      </c>
      <c r="G195" s="1014" t="s">
        <v>550</v>
      </c>
      <c r="H195" s="1014" t="s">
        <v>550</v>
      </c>
      <c r="I195" s="1015" t="s">
        <v>550</v>
      </c>
    </row>
    <row r="196" spans="1:9" ht="12.75" customHeight="1">
      <c r="A196" s="204"/>
      <c r="B196" s="1013" t="s">
        <v>214</v>
      </c>
      <c r="C196" s="1015"/>
      <c r="D196" s="207"/>
      <c r="E196" s="1013" t="s">
        <v>563</v>
      </c>
      <c r="F196" s="1014"/>
      <c r="G196" s="1014"/>
      <c r="H196" s="1014"/>
      <c r="I196" s="1015"/>
    </row>
    <row r="197" spans="1:9" ht="12.75" customHeight="1">
      <c r="A197" s="204"/>
      <c r="B197" s="1010"/>
      <c r="C197" s="1012"/>
      <c r="D197" s="207"/>
      <c r="E197" s="1010"/>
      <c r="F197" s="1011"/>
      <c r="G197" s="1011"/>
      <c r="H197" s="1011"/>
      <c r="I197" s="1012"/>
    </row>
    <row r="198" spans="1:9" ht="12.75" customHeight="1">
      <c r="A198" s="204"/>
      <c r="B198" s="1010"/>
      <c r="C198" s="1012"/>
      <c r="D198" s="207"/>
      <c r="E198" s="1010"/>
      <c r="F198" s="1011"/>
      <c r="G198" s="1011"/>
      <c r="H198" s="1011"/>
      <c r="I198" s="1012"/>
    </row>
    <row r="199" spans="1:9" ht="12.75" customHeight="1">
      <c r="A199" s="204"/>
      <c r="B199" s="1010"/>
      <c r="C199" s="1012"/>
      <c r="D199" s="207"/>
      <c r="E199" s="1010"/>
      <c r="F199" s="1011"/>
      <c r="G199" s="1011"/>
      <c r="H199" s="1011"/>
      <c r="I199" s="1012"/>
    </row>
    <row r="200" spans="1:9" s="31" customFormat="1" ht="12.75" customHeight="1">
      <c r="A200" s="747"/>
      <c r="B200" s="747"/>
      <c r="C200" s="747"/>
      <c r="D200" s="748"/>
      <c r="E200" s="749"/>
      <c r="F200" s="749"/>
      <c r="G200" s="749"/>
      <c r="H200" s="749"/>
      <c r="I200" s="749"/>
    </row>
    <row r="201" spans="1:9" s="31" customFormat="1" ht="12.75" customHeight="1">
      <c r="A201" s="747"/>
      <c r="B201" s="747"/>
      <c r="C201" s="747"/>
      <c r="D201" s="748"/>
      <c r="E201" s="749"/>
      <c r="F201" s="749"/>
      <c r="G201" s="749"/>
      <c r="H201" s="749"/>
      <c r="I201" s="749"/>
    </row>
    <row r="202" spans="1:9">
      <c r="A202" s="204"/>
      <c r="B202" s="1016" t="str">
        <f>B145</f>
        <v>SPT</v>
      </c>
      <c r="C202" s="1048"/>
      <c r="D202" s="207"/>
      <c r="E202" s="1016" t="str">
        <f>B100</f>
        <v>SHET</v>
      </c>
      <c r="F202" s="1017"/>
      <c r="G202" s="1017"/>
      <c r="H202" s="1017"/>
      <c r="I202" s="1018"/>
    </row>
    <row r="203" spans="1:9" ht="12.75" customHeight="1">
      <c r="A203" s="204"/>
      <c r="B203" s="1019" t="s">
        <v>211</v>
      </c>
      <c r="C203" s="1021"/>
      <c r="D203" s="207"/>
      <c r="E203" s="1019" t="s">
        <v>211</v>
      </c>
      <c r="F203" s="1020"/>
      <c r="G203" s="1020"/>
      <c r="H203" s="1020"/>
      <c r="I203" s="1021"/>
    </row>
    <row r="204" spans="1:9" ht="12.75" customHeight="1">
      <c r="A204" s="204"/>
      <c r="B204" s="1013" t="s">
        <v>212</v>
      </c>
      <c r="C204" s="1015"/>
      <c r="D204" s="207"/>
      <c r="E204" s="1013" t="s">
        <v>212</v>
      </c>
      <c r="F204" s="1014"/>
      <c r="G204" s="1014"/>
      <c r="H204" s="1014"/>
      <c r="I204" s="1015"/>
    </row>
    <row r="205" spans="1:9" ht="12.75" customHeight="1">
      <c r="A205" s="204"/>
      <c r="B205" s="1013" t="s">
        <v>213</v>
      </c>
      <c r="C205" s="1015"/>
      <c r="D205" s="207"/>
      <c r="E205" s="1013" t="s">
        <v>213</v>
      </c>
      <c r="F205" s="1014"/>
      <c r="G205" s="1014"/>
      <c r="H205" s="1014"/>
      <c r="I205" s="1015"/>
    </row>
    <row r="206" spans="1:9" ht="12.75" customHeight="1">
      <c r="A206" s="204"/>
      <c r="B206" s="1013" t="s">
        <v>214</v>
      </c>
      <c r="C206" s="1015"/>
      <c r="D206" s="207"/>
      <c r="E206" s="1013" t="s">
        <v>214</v>
      </c>
      <c r="F206" s="1014"/>
      <c r="G206" s="1014"/>
      <c r="H206" s="1014"/>
      <c r="I206" s="1015"/>
    </row>
    <row r="207" spans="1:9" ht="12.75" customHeight="1">
      <c r="A207" s="204"/>
      <c r="B207" s="1010" t="s">
        <v>215</v>
      </c>
      <c r="C207" s="1012"/>
      <c r="D207" s="207"/>
      <c r="E207" s="1010" t="s">
        <v>215</v>
      </c>
      <c r="F207" s="1011"/>
      <c r="G207" s="1011"/>
      <c r="H207" s="1011"/>
      <c r="I207" s="1012"/>
    </row>
    <row r="208" spans="1:9" ht="12.75" customHeight="1">
      <c r="A208" s="204"/>
      <c r="B208" s="1010"/>
      <c r="C208" s="1012"/>
      <c r="D208" s="207"/>
      <c r="E208" s="1010"/>
      <c r="F208" s="1011"/>
      <c r="G208" s="1011"/>
      <c r="H208" s="1011"/>
      <c r="I208" s="1012"/>
    </row>
    <row r="209" spans="1:14" ht="12.75" customHeight="1">
      <c r="A209" s="204"/>
      <c r="B209" s="1010"/>
      <c r="C209" s="1012"/>
      <c r="D209" s="207"/>
      <c r="E209" s="1010"/>
      <c r="F209" s="1011"/>
      <c r="G209" s="1011"/>
      <c r="H209" s="1011"/>
      <c r="I209" s="1012"/>
    </row>
    <row r="210" spans="1:14">
      <c r="A210" s="204"/>
      <c r="D210" s="207"/>
      <c r="E210" s="207"/>
    </row>
    <row r="211" spans="1:14">
      <c r="A211" s="204"/>
      <c r="D211" s="207"/>
      <c r="E211" s="207"/>
    </row>
    <row r="212" spans="1:14" ht="12.75" customHeight="1">
      <c r="A212" s="204"/>
      <c r="B212" s="1047" t="s">
        <v>233</v>
      </c>
      <c r="C212" s="1047"/>
      <c r="D212" s="1047"/>
      <c r="E212" s="286"/>
      <c r="F212" s="218"/>
      <c r="G212" s="218"/>
      <c r="H212" s="218"/>
      <c r="I212" s="218"/>
      <c r="J212" s="218"/>
      <c r="K212" s="218"/>
      <c r="L212" s="218"/>
      <c r="M212" s="218"/>
      <c r="N212" s="218"/>
    </row>
    <row r="213" spans="1:14">
      <c r="A213" s="204"/>
      <c r="B213" s="207"/>
      <c r="C213" s="207"/>
      <c r="D213" s="207"/>
      <c r="E213" s="207"/>
    </row>
    <row r="214" spans="1:14" ht="25.5">
      <c r="A214" s="204"/>
      <c r="B214" s="209" t="s">
        <v>126</v>
      </c>
      <c r="C214" s="208" t="s">
        <v>201</v>
      </c>
      <c r="D214" s="207"/>
      <c r="E214" s="207"/>
    </row>
    <row r="215" spans="1:14" ht="25.5">
      <c r="A215" s="204"/>
      <c r="B215" s="210" t="s">
        <v>127</v>
      </c>
      <c r="C215" s="291" t="s">
        <v>202</v>
      </c>
      <c r="D215" s="207"/>
      <c r="E215" s="207"/>
    </row>
    <row r="216" spans="1:14">
      <c r="B216" s="306"/>
      <c r="C216" s="42"/>
      <c r="D216" s="42"/>
      <c r="E216" s="42"/>
      <c r="F216" s="42"/>
      <c r="G216" s="42"/>
      <c r="H216" s="42"/>
      <c r="I216" s="42"/>
      <c r="J216" s="42"/>
    </row>
    <row r="217" spans="1:14">
      <c r="B217" s="205"/>
      <c r="I217" s="67"/>
    </row>
    <row r="218" spans="1:14">
      <c r="B218" s="763" t="s">
        <v>400</v>
      </c>
      <c r="I218" s="67"/>
    </row>
    <row r="219" spans="1:14">
      <c r="B219" s="765" t="s">
        <v>282</v>
      </c>
    </row>
    <row r="220" spans="1:14">
      <c r="B220" s="766" t="s">
        <v>281</v>
      </c>
    </row>
    <row r="221" spans="1:14">
      <c r="B221" s="769" t="s">
        <v>279</v>
      </c>
    </row>
    <row r="222" spans="1:14">
      <c r="B222" s="767"/>
    </row>
    <row r="223" spans="1:14">
      <c r="B223" s="214"/>
    </row>
    <row r="224" spans="1:14">
      <c r="B224" s="764" t="s">
        <v>277</v>
      </c>
    </row>
    <row r="225" spans="2:2">
      <c r="B225" s="768" t="s">
        <v>401</v>
      </c>
    </row>
    <row r="226" spans="2:2">
      <c r="B226" s="766" t="s">
        <v>402</v>
      </c>
    </row>
    <row r="227" spans="2:2">
      <c r="B227" s="766" t="s">
        <v>288</v>
      </c>
    </row>
    <row r="228" spans="2:2">
      <c r="B228" s="766" t="s">
        <v>403</v>
      </c>
    </row>
    <row r="229" spans="2:2">
      <c r="B229" s="766" t="s">
        <v>404</v>
      </c>
    </row>
    <row r="230" spans="2:2">
      <c r="B230" s="766" t="s">
        <v>280</v>
      </c>
    </row>
    <row r="231" spans="2:2">
      <c r="B231" s="766" t="s">
        <v>405</v>
      </c>
    </row>
    <row r="232" spans="2:2">
      <c r="B232" s="766"/>
    </row>
    <row r="233" spans="2:2">
      <c r="B233" s="767"/>
    </row>
    <row r="234" spans="2:2">
      <c r="B234" s="214"/>
    </row>
    <row r="235" spans="2:2">
      <c r="B235" s="764" t="s">
        <v>287</v>
      </c>
    </row>
    <row r="236" spans="2:2">
      <c r="B236" s="768" t="s">
        <v>406</v>
      </c>
    </row>
    <row r="237" spans="2:2">
      <c r="B237" s="766" t="s">
        <v>407</v>
      </c>
    </row>
    <row r="238" spans="2:2">
      <c r="B238" s="766" t="s">
        <v>408</v>
      </c>
    </row>
    <row r="239" spans="2:2">
      <c r="B239" s="766" t="s">
        <v>409</v>
      </c>
    </row>
    <row r="240" spans="2:2">
      <c r="B240" s="766" t="s">
        <v>410</v>
      </c>
    </row>
    <row r="241" spans="2:2">
      <c r="B241" s="767"/>
    </row>
    <row r="242" spans="2:2">
      <c r="B242" s="214"/>
    </row>
    <row r="243" spans="2:2">
      <c r="B243" s="764" t="s">
        <v>411</v>
      </c>
    </row>
    <row r="244" spans="2:2">
      <c r="B244" s="768" t="s">
        <v>412</v>
      </c>
    </row>
    <row r="245" spans="2:2">
      <c r="B245" s="766" t="s">
        <v>413</v>
      </c>
    </row>
    <row r="246" spans="2:2">
      <c r="B246" s="767"/>
    </row>
    <row r="247" spans="2:2">
      <c r="B247" s="214"/>
    </row>
    <row r="248" spans="2:2">
      <c r="B248" s="764" t="s">
        <v>414</v>
      </c>
    </row>
    <row r="249" spans="2:2">
      <c r="B249" s="768" t="s">
        <v>453</v>
      </c>
    </row>
    <row r="250" spans="2:2">
      <c r="B250" s="766" t="s">
        <v>452</v>
      </c>
    </row>
    <row r="251" spans="2:2">
      <c r="B251" s="767" t="s">
        <v>262</v>
      </c>
    </row>
    <row r="252" spans="2:2">
      <c r="B252" s="214"/>
    </row>
    <row r="253" spans="2:2">
      <c r="B253" s="764" t="s">
        <v>278</v>
      </c>
    </row>
    <row r="254" spans="2:2">
      <c r="B254" s="768" t="s">
        <v>415</v>
      </c>
    </row>
    <row r="255" spans="2:2">
      <c r="B255" s="766" t="s">
        <v>457</v>
      </c>
    </row>
    <row r="256" spans="2:2">
      <c r="B256" s="766"/>
    </row>
    <row r="257" spans="2:2">
      <c r="B257" s="767"/>
    </row>
    <row r="258" spans="2:2">
      <c r="B258" s="214"/>
    </row>
    <row r="259" spans="2:2">
      <c r="B259" s="764" t="s">
        <v>283</v>
      </c>
    </row>
    <row r="260" spans="2:2">
      <c r="B260" s="768" t="s">
        <v>284</v>
      </c>
    </row>
    <row r="261" spans="2:2">
      <c r="B261" s="766" t="s">
        <v>289</v>
      </c>
    </row>
    <row r="262" spans="2:2">
      <c r="B262" s="766"/>
    </row>
    <row r="263" spans="2:2">
      <c r="B263" s="767"/>
    </row>
    <row r="264" spans="2:2">
      <c r="B264" s="214"/>
    </row>
    <row r="265" spans="2:2">
      <c r="B265" s="764" t="s">
        <v>416</v>
      </c>
    </row>
    <row r="266" spans="2:2">
      <c r="B266" s="768" t="s">
        <v>282</v>
      </c>
    </row>
    <row r="267" spans="2:2">
      <c r="B267" s="766" t="s">
        <v>281</v>
      </c>
    </row>
    <row r="268" spans="2:2">
      <c r="B268" s="767"/>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00" priority="21">
      <formula>AND(#REF!="Actuals",#REF!="Forecast")</formula>
    </cfRule>
  </conditionalFormatting>
  <conditionalFormatting sqref="C47">
    <cfRule type="expression" dxfId="99" priority="19">
      <formula>AND(#REF!="Actuals",#REF!="Forecast")</formula>
    </cfRule>
  </conditionalFormatting>
  <conditionalFormatting sqref="C50:J50">
    <cfRule type="expression" dxfId="98" priority="18">
      <formula>AND(#REF!="Actuals",#REF!="Forecast")</formula>
    </cfRule>
  </conditionalFormatting>
  <conditionalFormatting sqref="B14:D30">
    <cfRule type="cellIs" dxfId="97" priority="15" operator="equal">
      <formula>"Forecast"</formula>
    </cfRule>
  </conditionalFormatting>
  <conditionalFormatting sqref="B23:C30">
    <cfRule type="expression" dxfId="96" priority="112">
      <formula>$D13="Forecast"</formula>
    </cfRule>
  </conditionalFormatting>
  <conditionalFormatting sqref="K71">
    <cfRule type="expression" dxfId="95" priority="6">
      <formula>AND(#REF!="Actuals",#REF!="Forecast")</formula>
    </cfRule>
  </conditionalFormatting>
  <conditionalFormatting sqref="K72:T72">
    <cfRule type="expression" dxfId="94" priority="5">
      <formula>AND(#REF!="Actuals",#REF!="Forecast")</formula>
    </cfRule>
  </conditionalFormatting>
  <conditionalFormatting sqref="C62:L62">
    <cfRule type="expression" dxfId="93" priority="4">
      <formula>AND(#REF!="Actuals",#REF!="Forecast")</formula>
    </cfRule>
  </conditionalFormatting>
  <conditionalFormatting sqref="C118:L118">
    <cfRule type="expression" dxfId="92" priority="2">
      <formula>AND(#REF!="Actuals",#REF!="Forecast")</formula>
    </cfRule>
  </conditionalFormatting>
  <conditionalFormatting sqref="E27:F27">
    <cfRule type="expression" dxfId="91" priority="1">
      <formula>$D17="Forecast"</formula>
    </cfRule>
  </conditionalFormatting>
  <pageMargins left="0.7" right="0.7" top="0.75" bottom="0.75" header="0.3" footer="0.3"/>
  <pageSetup paperSize="9" orientation="portrait" r:id="rId1"/>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H3"/>
    </sheetView>
  </sheetViews>
  <sheetFormatPr defaultRowHeight="12.75"/>
  <cols>
    <col min="1" max="1" width="8.375" customWidth="1"/>
    <col min="2" max="2" width="23.75" customWidth="1"/>
    <col min="3" max="3" width="25.75" customWidth="1"/>
    <col min="4" max="4" width="9.75" customWidth="1"/>
  </cols>
  <sheetData>
    <row r="1" spans="1:14" s="31" customFormat="1" ht="20.25">
      <c r="A1" s="845" t="s">
        <v>80</v>
      </c>
      <c r="B1" s="845"/>
      <c r="C1" s="845"/>
      <c r="D1" s="845"/>
      <c r="E1" s="845"/>
      <c r="F1" s="845"/>
      <c r="G1" s="845"/>
      <c r="H1" s="845"/>
      <c r="I1" s="32" t="s">
        <v>81</v>
      </c>
      <c r="J1" s="33"/>
      <c r="K1" s="33"/>
      <c r="L1" s="33"/>
      <c r="M1" s="33"/>
    </row>
    <row r="2" spans="1:14" s="31" customFormat="1" ht="20.25">
      <c r="A2" s="845" t="str">
        <f>'RFPR cover'!C5</f>
        <v>SPD</v>
      </c>
      <c r="B2" s="845"/>
      <c r="C2" s="845"/>
      <c r="D2" s="845"/>
      <c r="E2" s="845"/>
      <c r="F2" s="845"/>
      <c r="G2" s="845"/>
      <c r="H2" s="845"/>
      <c r="I2" s="33"/>
      <c r="J2" s="33"/>
      <c r="K2" s="33"/>
      <c r="L2" s="33"/>
      <c r="M2" s="33"/>
      <c r="N2" s="366"/>
    </row>
    <row r="3" spans="1:14" s="31" customFormat="1" ht="20.25">
      <c r="A3" s="845">
        <f>'RFPR cover'!C7</f>
        <v>2022</v>
      </c>
      <c r="B3" s="845"/>
      <c r="C3" s="845"/>
      <c r="D3" s="845"/>
      <c r="E3" s="845"/>
      <c r="F3" s="845"/>
      <c r="G3" s="845"/>
      <c r="H3" s="845"/>
      <c r="I3" s="33"/>
      <c r="J3" s="33"/>
      <c r="K3" s="33"/>
      <c r="L3" s="33"/>
      <c r="M3" s="33"/>
      <c r="N3" s="366"/>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82</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83</v>
      </c>
      <c r="C8" s="47" t="s">
        <v>84</v>
      </c>
      <c r="D8" s="1051" t="s">
        <v>85</v>
      </c>
      <c r="E8" s="1052"/>
      <c r="F8" s="1052"/>
      <c r="G8" s="1052"/>
      <c r="H8" s="1052"/>
      <c r="I8" s="543"/>
      <c r="J8" s="543"/>
      <c r="K8" s="543"/>
      <c r="L8" s="543"/>
      <c r="M8" s="543"/>
      <c r="N8" s="42"/>
    </row>
    <row r="9" spans="1:14">
      <c r="A9" s="24"/>
      <c r="B9" s="26" t="s">
        <v>86</v>
      </c>
      <c r="C9" s="46"/>
      <c r="D9" s="1049"/>
      <c r="E9" s="1050"/>
      <c r="F9" s="1050"/>
      <c r="G9" s="1050"/>
      <c r="H9" s="1050"/>
      <c r="I9" s="24"/>
      <c r="J9" s="24"/>
      <c r="K9" s="24"/>
      <c r="L9" s="24"/>
      <c r="M9" s="24"/>
    </row>
    <row r="10" spans="1:14">
      <c r="A10" s="24"/>
      <c r="B10" s="26" t="s">
        <v>87</v>
      </c>
      <c r="C10" s="46"/>
      <c r="D10" s="1049"/>
      <c r="E10" s="1050"/>
      <c r="F10" s="1050"/>
      <c r="G10" s="1050"/>
      <c r="H10" s="1050"/>
      <c r="I10" s="24"/>
      <c r="J10" s="24"/>
      <c r="K10" s="24"/>
      <c r="L10" s="24"/>
      <c r="M10" s="24"/>
    </row>
    <row r="11" spans="1:14">
      <c r="A11" s="24"/>
      <c r="B11" s="26" t="s">
        <v>88</v>
      </c>
      <c r="C11" s="46"/>
      <c r="D11" s="1049"/>
      <c r="E11" s="1050"/>
      <c r="F11" s="1050"/>
      <c r="G11" s="1050"/>
      <c r="H11" s="1050"/>
      <c r="I11" s="24"/>
      <c r="J11" s="24"/>
      <c r="K11" s="24"/>
      <c r="L11" s="24"/>
      <c r="M11" s="24"/>
    </row>
    <row r="12" spans="1:14">
      <c r="A12" s="24"/>
      <c r="B12" s="26" t="s">
        <v>89</v>
      </c>
      <c r="C12" s="46"/>
      <c r="D12" s="1049"/>
      <c r="E12" s="1050"/>
      <c r="F12" s="1050"/>
      <c r="G12" s="1050"/>
      <c r="H12" s="1050"/>
      <c r="I12" s="24"/>
      <c r="J12" s="24"/>
      <c r="K12" s="24"/>
      <c r="L12" s="24"/>
      <c r="M12" s="24"/>
    </row>
    <row r="13" spans="1:14">
      <c r="A13" s="24"/>
      <c r="B13" s="26" t="s">
        <v>90</v>
      </c>
      <c r="C13" s="46"/>
      <c r="D13" s="1049"/>
      <c r="E13" s="1050"/>
      <c r="F13" s="1050"/>
      <c r="G13" s="1050"/>
      <c r="H13" s="1050"/>
      <c r="I13" s="24"/>
      <c r="J13" s="24"/>
      <c r="K13" s="24"/>
      <c r="L13" s="24"/>
      <c r="M13" s="24"/>
    </row>
    <row r="14" spans="1:14">
      <c r="A14" s="24"/>
      <c r="B14" s="26" t="s">
        <v>91</v>
      </c>
      <c r="C14" s="46"/>
      <c r="D14" s="1049"/>
      <c r="E14" s="1050"/>
      <c r="F14" s="1050"/>
      <c r="G14" s="1050"/>
      <c r="H14" s="1050"/>
      <c r="I14" s="24"/>
      <c r="J14" s="24"/>
      <c r="K14" s="24"/>
      <c r="L14" s="24"/>
      <c r="M14" s="24"/>
    </row>
    <row r="15" spans="1:14">
      <c r="A15" s="24"/>
      <c r="B15" s="26" t="s">
        <v>92</v>
      </c>
      <c r="C15" s="46"/>
      <c r="D15" s="1049"/>
      <c r="E15" s="1050"/>
      <c r="F15" s="1050"/>
      <c r="G15" s="1050"/>
      <c r="H15" s="1050"/>
      <c r="I15" s="24"/>
      <c r="J15" s="24"/>
      <c r="K15" s="24"/>
      <c r="L15" s="24"/>
      <c r="M15" s="24"/>
    </row>
    <row r="16" spans="1:14">
      <c r="A16" s="24"/>
      <c r="B16" s="26" t="s">
        <v>93</v>
      </c>
      <c r="C16" s="46"/>
      <c r="D16" s="1049"/>
      <c r="E16" s="1050"/>
      <c r="F16" s="1050"/>
      <c r="G16" s="1050"/>
      <c r="H16" s="1050"/>
      <c r="I16" s="24"/>
      <c r="J16" s="24"/>
      <c r="K16" s="24"/>
      <c r="L16" s="24"/>
      <c r="M16" s="24"/>
    </row>
    <row r="17" spans="1:13">
      <c r="A17" s="24"/>
      <c r="B17" s="26" t="s">
        <v>94</v>
      </c>
      <c r="C17" s="46"/>
      <c r="D17" s="1049"/>
      <c r="E17" s="1050"/>
      <c r="F17" s="1050"/>
      <c r="G17" s="1050"/>
      <c r="H17" s="1050"/>
      <c r="I17" s="24"/>
      <c r="J17" s="24"/>
      <c r="K17" s="24"/>
      <c r="L17" s="24"/>
      <c r="M17" s="24"/>
    </row>
    <row r="18" spans="1:13">
      <c r="A18" s="24"/>
      <c r="B18" s="26" t="s">
        <v>95</v>
      </c>
      <c r="C18" s="46"/>
      <c r="D18" s="1049"/>
      <c r="E18" s="1050"/>
      <c r="F18" s="1050"/>
      <c r="G18" s="1050"/>
      <c r="H18" s="1050"/>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256</v>
      </c>
      <c r="C21" s="24"/>
      <c r="D21" s="24"/>
      <c r="E21" s="24"/>
      <c r="F21" s="24"/>
      <c r="G21" s="24"/>
      <c r="H21" s="24"/>
      <c r="I21" s="24"/>
      <c r="J21" s="24"/>
      <c r="K21" s="24"/>
      <c r="L21" s="24"/>
    </row>
    <row r="22" spans="1:13">
      <c r="A22" s="24"/>
      <c r="B22" s="287" t="s">
        <v>116</v>
      </c>
      <c r="C22" s="24"/>
      <c r="D22" s="24"/>
      <c r="E22" s="24"/>
      <c r="F22" s="24"/>
      <c r="G22" s="24"/>
      <c r="H22" s="24"/>
      <c r="I22" s="24"/>
      <c r="J22" s="24"/>
      <c r="K22" s="24"/>
      <c r="L22" s="24"/>
    </row>
    <row r="23" spans="1:13">
      <c r="A23" s="24"/>
      <c r="B23" s="287" t="s">
        <v>257</v>
      </c>
      <c r="C23" s="24"/>
      <c r="D23" s="24"/>
      <c r="E23" s="24"/>
      <c r="F23" s="24"/>
      <c r="G23" s="24"/>
      <c r="H23" s="24"/>
      <c r="I23" s="24"/>
      <c r="J23" s="24"/>
      <c r="K23" s="24"/>
      <c r="L23" s="24"/>
    </row>
    <row r="24" spans="1:13">
      <c r="B24" s="287" t="s">
        <v>96</v>
      </c>
    </row>
    <row r="25" spans="1:13">
      <c r="B25" s="287" t="s">
        <v>255</v>
      </c>
    </row>
    <row r="26" spans="1:13">
      <c r="B26" s="287" t="s">
        <v>97</v>
      </c>
    </row>
    <row r="27" spans="1:13">
      <c r="B27" s="287" t="s">
        <v>258</v>
      </c>
    </row>
    <row r="28" spans="1:13">
      <c r="B28" s="287" t="s">
        <v>273</v>
      </c>
    </row>
    <row r="29" spans="1:13">
      <c r="B29" s="287" t="s">
        <v>230</v>
      </c>
    </row>
    <row r="30" spans="1:13">
      <c r="B30" s="287" t="s">
        <v>276</v>
      </c>
    </row>
    <row r="31" spans="1:13">
      <c r="B31" s="287" t="s">
        <v>98</v>
      </c>
    </row>
    <row r="32" spans="1:13">
      <c r="B32" s="287" t="s">
        <v>254</v>
      </c>
    </row>
    <row r="33" spans="2:2">
      <c r="B33" s="287" t="s">
        <v>259</v>
      </c>
    </row>
    <row r="34" spans="2:2">
      <c r="B34" s="287" t="s">
        <v>252</v>
      </c>
    </row>
    <row r="35" spans="2:2">
      <c r="B35" s="287" t="s">
        <v>260</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15"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118</v>
      </c>
      <c r="B1" s="29"/>
      <c r="C1" s="29"/>
      <c r="D1" s="29"/>
    </row>
    <row r="2" spans="1:4" s="31" customFormat="1" ht="20.25">
      <c r="A2" s="29" t="str">
        <f>'RFPR cover'!C5</f>
        <v>SPD</v>
      </c>
      <c r="B2" s="29"/>
      <c r="C2" s="29"/>
      <c r="D2" s="29"/>
    </row>
    <row r="3" spans="1:4" s="31" customFormat="1" ht="20.25">
      <c r="A3" s="29">
        <f>'RFPR cover'!C7</f>
        <v>2022</v>
      </c>
      <c r="B3" s="29"/>
      <c r="C3" s="29"/>
      <c r="D3" s="29"/>
    </row>
    <row r="4" spans="1:4" s="31" customFormat="1" ht="20.25">
      <c r="A4" s="793"/>
      <c r="B4" s="793"/>
      <c r="C4" s="793"/>
      <c r="D4" s="793"/>
    </row>
    <row r="5" spans="1:4" ht="30">
      <c r="A5" s="790" t="s">
        <v>436</v>
      </c>
      <c r="B5" s="791" t="s">
        <v>437</v>
      </c>
      <c r="C5" s="792" t="s">
        <v>438</v>
      </c>
    </row>
    <row r="6" spans="1:4">
      <c r="A6" s="336">
        <v>1.1000000000000001</v>
      </c>
      <c r="B6" s="801" t="s">
        <v>518</v>
      </c>
      <c r="C6" s="805" t="s">
        <v>519</v>
      </c>
    </row>
    <row r="7" spans="1:4">
      <c r="A7" s="336">
        <v>1.1000000000000001</v>
      </c>
      <c r="B7" s="801" t="s">
        <v>518</v>
      </c>
      <c r="C7" s="805" t="s">
        <v>520</v>
      </c>
    </row>
    <row r="8" spans="1:4">
      <c r="A8" s="336">
        <v>1.1000000000000001</v>
      </c>
      <c r="B8" s="799" t="s">
        <v>521</v>
      </c>
      <c r="C8" s="804" t="s">
        <v>522</v>
      </c>
    </row>
    <row r="9" spans="1:4" ht="25.5">
      <c r="A9" s="336">
        <v>1.1000000000000001</v>
      </c>
      <c r="B9" s="799" t="s">
        <v>524</v>
      </c>
      <c r="C9" s="804" t="s">
        <v>525</v>
      </c>
    </row>
    <row r="10" spans="1:4">
      <c r="A10" s="336">
        <v>1.1000000000000001</v>
      </c>
      <c r="B10" s="799" t="s">
        <v>524</v>
      </c>
      <c r="C10" s="804" t="s">
        <v>527</v>
      </c>
    </row>
    <row r="11" spans="1:4">
      <c r="A11" s="336">
        <v>1.1000000000000001</v>
      </c>
      <c r="B11" s="799" t="s">
        <v>529</v>
      </c>
      <c r="C11" s="804" t="s">
        <v>528</v>
      </c>
    </row>
    <row r="12" spans="1:4" ht="25.5">
      <c r="A12" s="336">
        <v>1.1000000000000001</v>
      </c>
      <c r="B12" s="799" t="s">
        <v>524</v>
      </c>
      <c r="C12" s="804" t="s">
        <v>530</v>
      </c>
    </row>
    <row r="13" spans="1:4" ht="51">
      <c r="A13" s="336">
        <v>1.1000000000000001</v>
      </c>
      <c r="B13" s="799" t="s">
        <v>524</v>
      </c>
      <c r="C13" s="804" t="s">
        <v>531</v>
      </c>
    </row>
    <row r="14" spans="1:4">
      <c r="A14" s="337">
        <v>1.1000000000000001</v>
      </c>
      <c r="B14" s="799" t="s">
        <v>532</v>
      </c>
      <c r="C14" s="804" t="s">
        <v>533</v>
      </c>
    </row>
    <row r="15" spans="1:4">
      <c r="A15" s="337">
        <v>1.1000000000000001</v>
      </c>
      <c r="B15" s="799" t="s">
        <v>521</v>
      </c>
      <c r="C15" s="804" t="s">
        <v>534</v>
      </c>
    </row>
    <row r="16" spans="1:4" ht="38.25">
      <c r="A16" s="337">
        <v>1.1000000000000001</v>
      </c>
      <c r="B16" s="799" t="s">
        <v>535</v>
      </c>
      <c r="C16" s="804" t="s">
        <v>536</v>
      </c>
    </row>
    <row r="17" spans="1:3">
      <c r="A17" s="337">
        <v>1.1000000000000001</v>
      </c>
      <c r="B17" s="799" t="s">
        <v>529</v>
      </c>
      <c r="C17" s="288" t="s">
        <v>537</v>
      </c>
    </row>
    <row r="18" spans="1:3" ht="25.5">
      <c r="A18" s="337">
        <v>1.1000000000000001</v>
      </c>
      <c r="B18" s="799" t="s">
        <v>529</v>
      </c>
      <c r="C18" s="288" t="s">
        <v>538</v>
      </c>
    </row>
    <row r="19" spans="1:3">
      <c r="A19" s="337">
        <v>1.1000000000000001</v>
      </c>
      <c r="B19" s="799" t="s">
        <v>539</v>
      </c>
      <c r="C19" s="288" t="s">
        <v>540</v>
      </c>
    </row>
    <row r="20" spans="1:3" ht="25.5">
      <c r="A20" s="337">
        <v>1.1000000000000001</v>
      </c>
      <c r="B20" s="799" t="s">
        <v>539</v>
      </c>
      <c r="C20" s="288" t="s">
        <v>551</v>
      </c>
    </row>
    <row r="21" spans="1:3">
      <c r="A21" s="337">
        <v>1.1000000000000001</v>
      </c>
      <c r="B21" s="799" t="s">
        <v>552</v>
      </c>
      <c r="C21" s="288" t="s">
        <v>553</v>
      </c>
    </row>
    <row r="22" spans="1:3">
      <c r="A22" s="337">
        <v>1.1000000000000001</v>
      </c>
      <c r="B22" s="337" t="s">
        <v>532</v>
      </c>
      <c r="C22" s="288" t="s">
        <v>554</v>
      </c>
    </row>
    <row r="23" spans="1:3" ht="25.5">
      <c r="A23" s="337">
        <v>1.1000000000000001</v>
      </c>
      <c r="B23" s="799" t="s">
        <v>532</v>
      </c>
      <c r="C23" s="288" t="s">
        <v>555</v>
      </c>
    </row>
    <row r="24" spans="1:3" ht="25.5">
      <c r="A24" s="337">
        <v>1.1000000000000001</v>
      </c>
      <c r="B24" s="799" t="s">
        <v>535</v>
      </c>
      <c r="C24" s="288" t="s">
        <v>556</v>
      </c>
    </row>
    <row r="25" spans="1:3" ht="26.25" thickBot="1">
      <c r="A25" s="883">
        <v>1.1000000000000001</v>
      </c>
      <c r="B25" s="884" t="s">
        <v>539</v>
      </c>
      <c r="C25" s="885" t="s">
        <v>558</v>
      </c>
    </row>
    <row r="26" spans="1:3">
      <c r="A26" s="880">
        <v>1.1000000000000001</v>
      </c>
      <c r="B26" s="881" t="s">
        <v>532</v>
      </c>
      <c r="C26" s="882" t="s">
        <v>559</v>
      </c>
    </row>
    <row r="27" spans="1:3">
      <c r="A27" s="880">
        <v>1.1000000000000001</v>
      </c>
      <c r="B27" s="799" t="s">
        <v>539</v>
      </c>
      <c r="C27" s="288" t="s">
        <v>560</v>
      </c>
    </row>
    <row r="28" spans="1:3" ht="25.5">
      <c r="A28" s="337">
        <v>1.1000000000000001</v>
      </c>
      <c r="B28" s="799" t="s">
        <v>539</v>
      </c>
      <c r="C28" s="288" t="s">
        <v>561</v>
      </c>
    </row>
    <row r="29" spans="1:3">
      <c r="A29" s="886">
        <v>2</v>
      </c>
      <c r="B29" s="799" t="s">
        <v>539</v>
      </c>
      <c r="C29" s="288" t="s">
        <v>564</v>
      </c>
    </row>
    <row r="30" spans="1:3">
      <c r="A30" s="886">
        <v>2</v>
      </c>
      <c r="B30" s="799" t="s">
        <v>539</v>
      </c>
      <c r="C30" s="288" t="s">
        <v>565</v>
      </c>
    </row>
    <row r="31" spans="1:3">
      <c r="A31" s="886">
        <v>2</v>
      </c>
      <c r="B31" s="799" t="s">
        <v>539</v>
      </c>
      <c r="C31" s="288" t="s">
        <v>568</v>
      </c>
    </row>
    <row r="32" spans="1:3" ht="25.5">
      <c r="A32" s="886">
        <v>2</v>
      </c>
      <c r="B32" s="799" t="s">
        <v>258</v>
      </c>
      <c r="C32" s="817" t="s">
        <v>570</v>
      </c>
    </row>
    <row r="33" spans="1:3" ht="27.75" customHeight="1">
      <c r="A33" s="886">
        <v>2</v>
      </c>
      <c r="B33" s="799" t="s">
        <v>566</v>
      </c>
      <c r="C33" s="288" t="s">
        <v>567</v>
      </c>
    </row>
    <row r="34" spans="1:3">
      <c r="A34" s="337">
        <v>2.1</v>
      </c>
      <c r="B34" s="799" t="s">
        <v>254</v>
      </c>
      <c r="C34" s="288" t="s">
        <v>569</v>
      </c>
    </row>
    <row r="35" spans="1:3" ht="25.5">
      <c r="A35" s="337">
        <v>2.1</v>
      </c>
      <c r="B35" s="799" t="s">
        <v>258</v>
      </c>
      <c r="C35" s="288" t="s">
        <v>571</v>
      </c>
    </row>
    <row r="36" spans="1:3">
      <c r="A36" s="338"/>
      <c r="B36" s="820"/>
      <c r="C36" s="288"/>
    </row>
    <row r="37" spans="1:3">
      <c r="A37" s="338"/>
      <c r="B37" s="820"/>
      <c r="C37" s="288"/>
    </row>
    <row r="38" spans="1:3">
      <c r="A38" s="338"/>
      <c r="B38" s="820"/>
      <c r="C38" s="288"/>
    </row>
    <row r="39" spans="1:3">
      <c r="A39" s="338"/>
      <c r="B39" s="820"/>
      <c r="C39" s="288"/>
    </row>
    <row r="40" spans="1:3">
      <c r="A40" s="337"/>
      <c r="B40" s="820"/>
      <c r="C40" s="288"/>
    </row>
    <row r="41" spans="1:3">
      <c r="A41" s="338"/>
      <c r="B41" s="820"/>
      <c r="C41" s="288"/>
    </row>
    <row r="42" spans="1:3">
      <c r="A42" s="338"/>
      <c r="B42" s="820"/>
      <c r="C42" s="288"/>
    </row>
    <row r="43" spans="1:3">
      <c r="A43" s="338"/>
      <c r="B43" s="820"/>
      <c r="C43" s="288"/>
    </row>
    <row r="44" spans="1:3">
      <c r="A44" s="338"/>
      <c r="B44" s="799"/>
      <c r="C44" s="288"/>
    </row>
    <row r="45" spans="1:3">
      <c r="A45" s="338"/>
      <c r="B45" s="799"/>
      <c r="C45" s="288"/>
    </row>
    <row r="46" spans="1:3">
      <c r="A46" s="338"/>
      <c r="B46" s="799"/>
      <c r="C46" s="288"/>
    </row>
    <row r="47" spans="1:3">
      <c r="A47" s="338"/>
      <c r="B47" s="799"/>
      <c r="C47" s="288"/>
    </row>
    <row r="48" spans="1:3">
      <c r="A48" s="338"/>
      <c r="B48" s="799"/>
      <c r="C48" s="288"/>
    </row>
    <row r="49" spans="1:3">
      <c r="A49" s="338"/>
      <c r="B49" s="799"/>
      <c r="C49" s="288"/>
    </row>
    <row r="50" spans="1:3">
      <c r="A50" s="338"/>
      <c r="B50" s="799"/>
      <c r="C50" s="288"/>
    </row>
    <row r="51" spans="1:3">
      <c r="A51" s="338"/>
      <c r="B51" s="799"/>
      <c r="C51" s="288"/>
    </row>
    <row r="52" spans="1:3">
      <c r="A52" s="338"/>
      <c r="B52" s="799"/>
      <c r="C52" s="288"/>
    </row>
    <row r="53" spans="1:3">
      <c r="A53" s="338"/>
      <c r="B53" s="799"/>
      <c r="C53" s="288"/>
    </row>
    <row r="54" spans="1:3">
      <c r="A54" s="338"/>
      <c r="B54" s="828"/>
      <c r="C54" s="829"/>
    </row>
    <row r="55" spans="1:3">
      <c r="A55" s="338"/>
      <c r="B55" s="799"/>
      <c r="C55" s="288"/>
    </row>
    <row r="56" spans="1:3">
      <c r="A56" s="338"/>
      <c r="B56" s="799"/>
      <c r="C56" s="288"/>
    </row>
    <row r="57" spans="1:3">
      <c r="A57" s="338"/>
      <c r="B57" s="799"/>
      <c r="C57" s="288"/>
    </row>
    <row r="58" spans="1:3">
      <c r="A58" s="338"/>
      <c r="B58" s="799"/>
      <c r="C58" s="288"/>
    </row>
    <row r="59" spans="1:3">
      <c r="A59" s="338"/>
      <c r="B59" s="799"/>
      <c r="C59" s="817"/>
    </row>
    <row r="60" spans="1:3">
      <c r="A60" s="339"/>
      <c r="B60" s="800"/>
      <c r="C60" s="289"/>
    </row>
    <row r="61" spans="1:3">
      <c r="A61" s="339"/>
      <c r="B61" s="800"/>
      <c r="C61" s="289"/>
    </row>
    <row r="62" spans="1:3">
      <c r="A62" s="339"/>
      <c r="B62" s="800"/>
      <c r="C62" s="289"/>
    </row>
    <row r="63" spans="1:3">
      <c r="A63" s="339"/>
      <c r="B63" s="800"/>
      <c r="C63" s="289"/>
    </row>
    <row r="64" spans="1:3">
      <c r="A64" s="339"/>
      <c r="B64" s="800"/>
      <c r="C64" s="289"/>
    </row>
    <row r="65" spans="1:3">
      <c r="A65" s="339"/>
      <c r="B65" s="800"/>
      <c r="C65" s="289"/>
    </row>
    <row r="66" spans="1:3">
      <c r="A66" s="339"/>
      <c r="B66" s="800"/>
      <c r="C66" s="289"/>
    </row>
    <row r="67" spans="1:3">
      <c r="A67" s="339"/>
      <c r="B67" s="800"/>
      <c r="C67" s="289"/>
    </row>
  </sheetData>
  <pageMargins left="0.70866141732283472" right="0.70866141732283472" top="0.74803149606299213" bottom="0.74803149606299213" header="0.31496062992125984" footer="0.31496062992125984"/>
  <pageSetup paperSize="8" scale="10"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R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8" s="31" customFormat="1" ht="20.25">
      <c r="A1" s="850" t="s">
        <v>232</v>
      </c>
      <c r="B1" s="859"/>
      <c r="C1" s="860"/>
      <c r="D1" s="860"/>
      <c r="E1" s="860"/>
      <c r="F1" s="860"/>
      <c r="G1" s="257"/>
      <c r="H1" s="257"/>
      <c r="I1" s="258"/>
      <c r="J1" s="258"/>
      <c r="K1" s="259"/>
      <c r="L1" s="259"/>
      <c r="M1" s="259"/>
      <c r="N1" s="259"/>
      <c r="O1" s="367" t="s">
        <v>81</v>
      </c>
    </row>
    <row r="2" spans="1:18" s="31" customFormat="1" ht="20.25">
      <c r="A2" s="853" t="str">
        <f>'RFPR cover'!C5</f>
        <v>SPD</v>
      </c>
      <c r="B2" s="861"/>
      <c r="C2" s="845"/>
      <c r="D2" s="845"/>
      <c r="E2" s="845"/>
      <c r="F2" s="845"/>
      <c r="G2" s="29"/>
      <c r="H2" s="29"/>
      <c r="I2" s="27"/>
      <c r="J2" s="27"/>
      <c r="K2" s="27"/>
      <c r="L2" s="27"/>
      <c r="M2" s="27"/>
      <c r="N2" s="27"/>
      <c r="O2" s="124"/>
    </row>
    <row r="3" spans="1:18" s="31" customFormat="1" ht="23.25">
      <c r="A3" s="856">
        <f>'RFPR cover'!C7</f>
        <v>2022</v>
      </c>
      <c r="B3" s="862" t="str">
        <f>IF('RFPR cover'!C5=Data!B98,"Not required to be completed for System Operator",(IF('RFPR cover'!C5=Data!B96,"Not required to be completed for System Operator","")))</f>
        <v/>
      </c>
      <c r="C3" s="863"/>
      <c r="D3" s="863"/>
      <c r="E3" s="863"/>
      <c r="F3" s="863"/>
      <c r="G3" s="261"/>
      <c r="H3" s="261"/>
      <c r="I3" s="256"/>
      <c r="J3" s="256"/>
      <c r="K3" s="256"/>
      <c r="L3" s="256"/>
      <c r="M3" s="256"/>
      <c r="N3" s="256"/>
      <c r="O3" s="262"/>
    </row>
    <row r="4" spans="1:18" ht="12.75" customHeight="1"/>
    <row r="5" spans="1:18">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L5" s="2"/>
      <c r="M5" s="2"/>
    </row>
    <row r="6" spans="1:18"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2022</v>
      </c>
      <c r="N6" s="195" t="s">
        <v>106</v>
      </c>
    </row>
    <row r="7" spans="1:18">
      <c r="C7" s="173"/>
      <c r="D7" s="173"/>
      <c r="E7" s="173"/>
      <c r="F7" s="173"/>
      <c r="G7" s="173"/>
      <c r="H7" s="173"/>
      <c r="I7" s="173"/>
      <c r="J7" s="173"/>
      <c r="K7" s="173"/>
      <c r="L7" s="173"/>
      <c r="M7" s="173"/>
      <c r="N7" s="173"/>
      <c r="O7" s="173"/>
    </row>
    <row r="8" spans="1:18">
      <c r="B8" s="526" t="s">
        <v>105</v>
      </c>
      <c r="C8" s="424"/>
      <c r="D8" s="424"/>
      <c r="E8" s="424"/>
      <c r="F8" s="424"/>
      <c r="G8" s="424"/>
      <c r="H8" s="424"/>
      <c r="I8" s="424"/>
      <c r="J8" s="424"/>
      <c r="K8" s="424"/>
      <c r="L8" s="527"/>
      <c r="M8" s="218"/>
      <c r="N8" s="218"/>
      <c r="O8" s="218"/>
    </row>
    <row r="9" spans="1:18">
      <c r="B9" s="198"/>
      <c r="D9" s="42"/>
      <c r="E9" s="42"/>
      <c r="F9" s="42"/>
      <c r="G9" s="42"/>
      <c r="H9" s="42"/>
      <c r="I9" s="42"/>
      <c r="J9" s="42"/>
      <c r="K9" s="42"/>
      <c r="L9" s="49"/>
    </row>
    <row r="10" spans="1:18">
      <c r="B10" s="253" t="s">
        <v>208</v>
      </c>
      <c r="C10" s="255" t="s">
        <v>7</v>
      </c>
      <c r="D10" s="504">
        <f t="shared" ref="D10:K19" si="1">D48/D$65</f>
        <v>0.06</v>
      </c>
      <c r="E10" s="506">
        <f t="shared" si="1"/>
        <v>0.06</v>
      </c>
      <c r="F10" s="506">
        <f t="shared" si="1"/>
        <v>0.06</v>
      </c>
      <c r="G10" s="506">
        <f t="shared" si="1"/>
        <v>6.0000000000000005E-2</v>
      </c>
      <c r="H10" s="506">
        <f t="shared" si="1"/>
        <v>0.06</v>
      </c>
      <c r="I10" s="506">
        <f t="shared" si="1"/>
        <v>0.06</v>
      </c>
      <c r="J10" s="506">
        <f t="shared" si="1"/>
        <v>0.06</v>
      </c>
      <c r="K10" s="505">
        <f t="shared" si="1"/>
        <v>6.0000000000000005E-2</v>
      </c>
      <c r="L10" s="174"/>
      <c r="M10" s="504">
        <f>AVERAGE(D48:INDEX(D48:K48,0,MATCH('RFPR cover'!$C$7,$D$6:$K$6,0)))/AVERAGE($D$65:INDEX($D$65:$K$65,0,MATCH('RFPR cover'!$C$7,$D$6:$K$6,0)))</f>
        <v>6.0000000000000005E-2</v>
      </c>
      <c r="N10" s="505">
        <f>AVERAGE(D48:K48)/AVERAGE($D$65:$K$65)</f>
        <v>6.0000000000000005E-2</v>
      </c>
      <c r="Q10" s="900"/>
      <c r="R10" s="515"/>
    </row>
    <row r="11" spans="1:18">
      <c r="B11" s="253" t="str">
        <f t="shared" ref="B11:B18" si="2">B49</f>
        <v>Totex outperformance</v>
      </c>
      <c r="C11" s="255" t="s">
        <v>7</v>
      </c>
      <c r="D11" s="176">
        <f t="shared" si="1"/>
        <v>0</v>
      </c>
      <c r="E11" s="177">
        <f t="shared" si="1"/>
        <v>0</v>
      </c>
      <c r="F11" s="177">
        <f t="shared" si="1"/>
        <v>0</v>
      </c>
      <c r="G11" s="177">
        <f t="shared" si="1"/>
        <v>-1.4336079026936321E-5</v>
      </c>
      <c r="H11" s="177">
        <f t="shared" si="1"/>
        <v>-8.3784103416682035E-3</v>
      </c>
      <c r="I11" s="177">
        <f t="shared" si="1"/>
        <v>-8.2875944708836035E-3</v>
      </c>
      <c r="J11" s="177">
        <f t="shared" si="1"/>
        <v>-1.2633712892512977E-2</v>
      </c>
      <c r="K11" s="178">
        <f t="shared" si="1"/>
        <v>-1.8522127405153712E-2</v>
      </c>
      <c r="L11" s="174"/>
      <c r="M11" s="176">
        <f>AVERAGE(D49:INDEX(D49:K49,0,MATCH('RFPR cover'!$C$7,$D$6:$K$6,0)))/AVERAGE($D$65:INDEX($D$65:$K$65,0,MATCH('RFPR cover'!$C$7,$D$6:$K$6,0)))</f>
        <v>-4.305830813410301E-3</v>
      </c>
      <c r="N11" s="178">
        <f t="shared" ref="N11:N19" si="3">AVERAGE(D49:K49)/AVERAGE($D$65:$K$65)</f>
        <v>-6.1450400116755894E-3</v>
      </c>
      <c r="P11" s="174"/>
      <c r="Q11" s="900"/>
      <c r="R11" s="515"/>
    </row>
    <row r="12" spans="1:18">
      <c r="B12" s="253" t="str">
        <f t="shared" si="2"/>
        <v>IQI Reward</v>
      </c>
      <c r="C12" s="255" t="s">
        <v>7</v>
      </c>
      <c r="D12" s="176">
        <f t="shared" si="1"/>
        <v>-3.5542744707884617E-3</v>
      </c>
      <c r="E12" s="177">
        <f t="shared" si="1"/>
        <v>-3.4416825914959301E-3</v>
      </c>
      <c r="F12" s="177">
        <f t="shared" si="1"/>
        <v>-3.4431868052342699E-3</v>
      </c>
      <c r="G12" s="177">
        <f t="shared" si="1"/>
        <v>-3.2076426180158322E-3</v>
      </c>
      <c r="H12" s="177">
        <f t="shared" si="1"/>
        <v>-3.0411923265266697E-3</v>
      </c>
      <c r="I12" s="177">
        <f t="shared" si="1"/>
        <v>-2.856886366653101E-3</v>
      </c>
      <c r="J12" s="177">
        <f t="shared" si="1"/>
        <v>-2.6682969886490781E-3</v>
      </c>
      <c r="K12" s="178">
        <f t="shared" si="1"/>
        <v>-2.5569361426940537E-3</v>
      </c>
      <c r="L12" s="174"/>
      <c r="M12" s="176">
        <f>AVERAGE(D50:INDEX(D50:K50,0,MATCH('RFPR cover'!$C$7,$D$6:$K$6,0)))/AVERAGE($D$65:INDEX($D$65:$K$65,0,MATCH('RFPR cover'!$C$7,$D$6:$K$6,0)))</f>
        <v>-3.1654802747916677E-3</v>
      </c>
      <c r="N12" s="178">
        <f t="shared" si="3"/>
        <v>-3.086750912465735E-3</v>
      </c>
      <c r="Q12" s="900"/>
      <c r="R12" s="515"/>
    </row>
    <row r="13" spans="1:18">
      <c r="B13" s="253" t="str">
        <f t="shared" si="2"/>
        <v>Broad measure of customer service</v>
      </c>
      <c r="C13" s="255" t="s">
        <v>7</v>
      </c>
      <c r="D13" s="176">
        <f t="shared" si="1"/>
        <v>3.9699899454334912E-3</v>
      </c>
      <c r="E13" s="177">
        <f t="shared" si="1"/>
        <v>3.8702617049576021E-3</v>
      </c>
      <c r="F13" s="177">
        <f t="shared" si="1"/>
        <v>4.2936665789930261E-3</v>
      </c>
      <c r="G13" s="177">
        <f t="shared" si="1"/>
        <v>5.4981667643273927E-3</v>
      </c>
      <c r="H13" s="177">
        <f t="shared" si="1"/>
        <v>5.8834517710958361E-3</v>
      </c>
      <c r="I13" s="177">
        <f t="shared" si="1"/>
        <v>5.9161289524930607E-3</v>
      </c>
      <c r="J13" s="177">
        <f t="shared" si="1"/>
        <v>4.2859781300606985E-3</v>
      </c>
      <c r="K13" s="178">
        <f t="shared" si="1"/>
        <v>4.4421108822524438E-3</v>
      </c>
      <c r="L13" s="174"/>
      <c r="M13" s="176">
        <f>AVERAGE(D51:INDEX(D51:K51,0,MATCH('RFPR cover'!$C$7,$D$6:$K$6,0)))/AVERAGE($D$65:INDEX($D$65:$K$65,0,MATCH('RFPR cover'!$C$7,$D$6:$K$6,0)))</f>
        <v>4.8303608251377668E-3</v>
      </c>
      <c r="N13" s="178">
        <f t="shared" si="3"/>
        <v>4.7801316489544726E-3</v>
      </c>
      <c r="Q13" s="900"/>
      <c r="R13" s="515"/>
    </row>
    <row r="14" spans="1:18">
      <c r="B14" s="253" t="str">
        <f t="shared" si="2"/>
        <v>Interruptions-related quality of service</v>
      </c>
      <c r="C14" s="255" t="s">
        <v>7</v>
      </c>
      <c r="D14" s="176">
        <f t="shared" si="1"/>
        <v>1.0003502597948417E-2</v>
      </c>
      <c r="E14" s="177">
        <f t="shared" si="1"/>
        <v>1.5440804259682278E-2</v>
      </c>
      <c r="F14" s="177">
        <f t="shared" si="1"/>
        <v>1.338337958037846E-2</v>
      </c>
      <c r="G14" s="177">
        <f t="shared" si="1"/>
        <v>6.7525916240309593E-3</v>
      </c>
      <c r="H14" s="177">
        <f t="shared" si="1"/>
        <v>7.9073316031877585E-3</v>
      </c>
      <c r="I14" s="177">
        <f t="shared" si="1"/>
        <v>1.0883822599607115E-2</v>
      </c>
      <c r="J14" s="177">
        <f t="shared" si="1"/>
        <v>1.3495638723516669E-2</v>
      </c>
      <c r="K14" s="178">
        <f t="shared" si="1"/>
        <v>1.2896450948474837E-2</v>
      </c>
      <c r="L14" s="174"/>
      <c r="M14" s="176">
        <f>AVERAGE(D52:INDEX(D52:K52,0,MATCH('RFPR cover'!$C$7,$D$6:$K$6,0)))/AVERAGE($D$65:INDEX($D$65:$K$65,0,MATCH('RFPR cover'!$C$7,$D$6:$K$6,0)))</f>
        <v>1.1110974220852769E-2</v>
      </c>
      <c r="N14" s="178">
        <f t="shared" si="3"/>
        <v>1.1341967236476708E-2</v>
      </c>
      <c r="Q14" s="900"/>
      <c r="R14" s="515"/>
    </row>
    <row r="15" spans="1:18">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6">
        <f>AVERAGE(D53:INDEX(D53:K53,0,MATCH('RFPR cover'!$C$7,$D$6:$K$6,0)))/AVERAGE($D$65:INDEX($D$65:$K$65,0,MATCH('RFPR cover'!$C$7,$D$6:$K$6,0)))</f>
        <v>0</v>
      </c>
      <c r="N15" s="178">
        <f t="shared" si="3"/>
        <v>0</v>
      </c>
      <c r="Q15" s="900"/>
      <c r="R15" s="515"/>
    </row>
    <row r="16" spans="1:18">
      <c r="B16" s="253" t="str">
        <f t="shared" si="2"/>
        <v>Time to Connect Incentive</v>
      </c>
      <c r="C16" s="255" t="s">
        <v>7</v>
      </c>
      <c r="D16" s="176">
        <f t="shared" si="1"/>
        <v>1.4863392042193608E-3</v>
      </c>
      <c r="E16" s="177">
        <f t="shared" si="1"/>
        <v>9.1990295441383356E-4</v>
      </c>
      <c r="F16" s="177">
        <f t="shared" si="1"/>
        <v>9.0971366985741339E-4</v>
      </c>
      <c r="G16" s="177">
        <f t="shared" si="1"/>
        <v>8.9510604663260642E-4</v>
      </c>
      <c r="H16" s="177">
        <f t="shared" si="1"/>
        <v>8.7676935734057673E-4</v>
      </c>
      <c r="I16" s="177">
        <f t="shared" si="1"/>
        <v>8.00621855021753E-4</v>
      </c>
      <c r="J16" s="177">
        <f t="shared" si="1"/>
        <v>7.9143758034555664E-4</v>
      </c>
      <c r="K16" s="178">
        <f t="shared" si="1"/>
        <v>8.5976339656498901E-4</v>
      </c>
      <c r="L16" s="174"/>
      <c r="M16" s="176">
        <f>AVERAGE(D54:INDEX(D54:K54,0,MATCH('RFPR cover'!$C$7,$D$6:$K$6,0)))/AVERAGE($D$65:INDEX($D$65:$K$65,0,MATCH('RFPR cover'!$C$7,$D$6:$K$6,0)))</f>
        <v>9.5019526073209881E-4</v>
      </c>
      <c r="N16" s="178">
        <f t="shared" si="3"/>
        <v>9.3849579207518974E-4</v>
      </c>
      <c r="Q16" s="900"/>
      <c r="R16" s="515"/>
    </row>
    <row r="17" spans="2:18">
      <c r="B17" s="253" t="str">
        <f t="shared" si="2"/>
        <v>Losses discretionary reward scheme</v>
      </c>
      <c r="C17" s="255" t="s">
        <v>7</v>
      </c>
      <c r="D17" s="176">
        <f t="shared" si="1"/>
        <v>0</v>
      </c>
      <c r="E17" s="177">
        <f t="shared" si="1"/>
        <v>5.9027106241554329E-4</v>
      </c>
      <c r="F17" s="177">
        <f t="shared" si="1"/>
        <v>0</v>
      </c>
      <c r="G17" s="177">
        <f t="shared" si="1"/>
        <v>0</v>
      </c>
      <c r="H17" s="177">
        <f t="shared" si="1"/>
        <v>0</v>
      </c>
      <c r="I17" s="177">
        <f t="shared" si="1"/>
        <v>0</v>
      </c>
      <c r="J17" s="177">
        <f t="shared" si="1"/>
        <v>0</v>
      </c>
      <c r="K17" s="178">
        <f t="shared" si="1"/>
        <v>0</v>
      </c>
      <c r="L17" s="174"/>
      <c r="M17" s="176">
        <f>AVERAGE(D55:INDEX(D55:K55,0,MATCH('RFPR cover'!$C$7,$D$6:$K$6,0)))/AVERAGE($D$65:INDEX($D$65:$K$65,0,MATCH('RFPR cover'!$C$7,$D$6:$K$6,0)))</f>
        <v>8.1978714425311736E-5</v>
      </c>
      <c r="N17" s="178">
        <f t="shared" si="3"/>
        <v>7.1372857642570969E-5</v>
      </c>
      <c r="Q17" s="900"/>
      <c r="R17" s="515"/>
    </row>
    <row r="18" spans="2:18">
      <c r="B18" s="253" t="str">
        <f t="shared" si="2"/>
        <v xml:space="preserve">Network Innovation </v>
      </c>
      <c r="C18" s="255" t="s">
        <v>7</v>
      </c>
      <c r="D18" s="176">
        <f t="shared" si="1"/>
        <v>-3.0468017261447251E-4</v>
      </c>
      <c r="E18" s="177">
        <f t="shared" si="1"/>
        <v>-3.8294845789713051E-4</v>
      </c>
      <c r="F18" s="177">
        <f t="shared" si="1"/>
        <v>-2.5365752106138486E-4</v>
      </c>
      <c r="G18" s="177">
        <f t="shared" si="1"/>
        <v>1.0653152365971454E-3</v>
      </c>
      <c r="H18" s="177">
        <f t="shared" si="1"/>
        <v>-3.0253061021069872E-4</v>
      </c>
      <c r="I18" s="177">
        <f t="shared" si="1"/>
        <v>-3.2771507190419805E-4</v>
      </c>
      <c r="J18" s="177">
        <f t="shared" si="1"/>
        <v>-3.2617894794420099E-4</v>
      </c>
      <c r="K18" s="178">
        <f t="shared" si="1"/>
        <v>-2.5973014768954197E-4</v>
      </c>
      <c r="L18" s="174"/>
      <c r="M18" s="176">
        <f>AVERAGE(D56:INDEX(D56:K56,0,MATCH('RFPR cover'!$C$7,$D$6:$K$6,0)))/AVERAGE($D$65:INDEX($D$65:$K$65,0,MATCH('RFPR cover'!$C$7,$D$6:$K$6,0)))</f>
        <v>-1.1909880291951919E-4</v>
      </c>
      <c r="N18" s="178">
        <f t="shared" si="3"/>
        <v>-1.3729274402058363E-4</v>
      </c>
      <c r="Q18" s="900"/>
      <c r="R18" s="515"/>
    </row>
    <row r="19" spans="2:18">
      <c r="B19" s="253" t="str">
        <f>B57</f>
        <v>Penalties and fines</v>
      </c>
      <c r="C19" s="255" t="s">
        <v>7</v>
      </c>
      <c r="D19" s="186">
        <f t="shared" si="1"/>
        <v>-3.1183074869856716E-6</v>
      </c>
      <c r="E19" s="187">
        <f t="shared" si="1"/>
        <v>-1.1402842928686236E-5</v>
      </c>
      <c r="F19" s="187">
        <f t="shared" si="1"/>
        <v>-7.7053398306839058E-6</v>
      </c>
      <c r="G19" s="187">
        <f t="shared" si="1"/>
        <v>-6.1669732201687473E-5</v>
      </c>
      <c r="H19" s="187">
        <f t="shared" si="1"/>
        <v>-1.3193447899026393E-4</v>
      </c>
      <c r="I19" s="187">
        <f t="shared" si="1"/>
        <v>-6.3449600306389283E-5</v>
      </c>
      <c r="J19" s="187">
        <f t="shared" si="1"/>
        <v>-1.6672236365956408E-3</v>
      </c>
      <c r="K19" s="188">
        <f t="shared" si="1"/>
        <v>0</v>
      </c>
      <c r="L19" s="174"/>
      <c r="M19" s="186">
        <f>AVERAGE(D57:INDEX(D57:K57,0,MATCH('RFPR cover'!$C$7,$D$6:$K$6,0)))/AVERAGE($D$65:INDEX($D$65:$K$65,0,MATCH('RFPR cover'!$C$7,$D$6:$K$6,0)))</f>
        <v>-2.870309677342009E-4</v>
      </c>
      <c r="N19" s="188">
        <f t="shared" si="3"/>
        <v>-2.4989682434904323E-4</v>
      </c>
      <c r="Q19" s="900"/>
      <c r="R19" s="515"/>
    </row>
    <row r="20" spans="2:18">
      <c r="B20" s="254" t="str">
        <f>B58</f>
        <v>RoRE - Operational performance</v>
      </c>
      <c r="C20" s="255" t="s">
        <v>7</v>
      </c>
      <c r="D20" s="189">
        <f t="shared" ref="D20:K20" si="4">SUM(D10:D19)</f>
        <v>7.1597758796711347E-2</v>
      </c>
      <c r="E20" s="190">
        <f t="shared" si="4"/>
        <v>7.6985206089147509E-2</v>
      </c>
      <c r="F20" s="190">
        <f t="shared" si="4"/>
        <v>7.4882210163102564E-2</v>
      </c>
      <c r="G20" s="190">
        <f t="shared" si="4"/>
        <v>7.0927531242343647E-2</v>
      </c>
      <c r="H20" s="190">
        <f t="shared" si="4"/>
        <v>6.281348497422834E-2</v>
      </c>
      <c r="I20" s="190">
        <f t="shared" si="4"/>
        <v>6.6064927897374628E-2</v>
      </c>
      <c r="J20" s="190">
        <f t="shared" si="4"/>
        <v>6.1277641968221018E-2</v>
      </c>
      <c r="K20" s="191">
        <f t="shared" si="4"/>
        <v>5.6859531531754971E-2</v>
      </c>
      <c r="L20" s="175"/>
      <c r="M20" s="189">
        <f>SUM(M10:M19)</f>
        <v>6.909606816229226E-2</v>
      </c>
      <c r="N20" s="191">
        <f>SUM(N10:N19)</f>
        <v>6.7512987042638001E-2</v>
      </c>
      <c r="Q20" s="900"/>
      <c r="R20" s="515"/>
    </row>
    <row r="21" spans="2:18">
      <c r="B21" s="253" t="str">
        <f>B59</f>
        <v>Debt performance - at notional gearing</v>
      </c>
      <c r="C21" s="255" t="s">
        <v>7</v>
      </c>
      <c r="D21" s="176">
        <f>(D59)/D$65</f>
        <v>-4.4386511392809011E-3</v>
      </c>
      <c r="E21" s="177">
        <f t="shared" ref="E21:K21" si="5">(E59)/E$65</f>
        <v>1.0987263722097674E-2</v>
      </c>
      <c r="F21" s="177">
        <f t="shared" si="5"/>
        <v>3.8284041998418818E-2</v>
      </c>
      <c r="G21" s="177">
        <f t="shared" si="5"/>
        <v>2.7318505130132259E-2</v>
      </c>
      <c r="H21" s="177">
        <f t="shared" si="5"/>
        <v>1.7044858355566885E-2</v>
      </c>
      <c r="I21" s="177">
        <f t="shared" si="5"/>
        <v>2.5683230563594708E-4</v>
      </c>
      <c r="J21" s="177">
        <f t="shared" si="5"/>
        <v>7.2940049299654725E-2</v>
      </c>
      <c r="K21" s="178">
        <f t="shared" si="5"/>
        <v>9.8599281754800774E-2</v>
      </c>
      <c r="L21" s="174"/>
      <c r="M21" s="176">
        <f>AVERAGE(D59:INDEX(D59:K59,0,MATCH('RFPR cover'!$C$7,$D$6:$K$6,0)))/AVERAGE($D$65:INDEX($D$65:$K$65,0,MATCH('RFPR cover'!$C$7,$D$6:$K$6,0)))</f>
        <v>2.3493440673236731E-2</v>
      </c>
      <c r="N21" s="178">
        <f>AVERAGE(D59:K59)/AVERAGE($D$65:$K$65)</f>
        <v>3.321013115371603E-2</v>
      </c>
      <c r="Q21" s="900"/>
      <c r="R21" s="515"/>
    </row>
    <row r="22" spans="2:18">
      <c r="B22" s="253" t="str">
        <f>B61</f>
        <v>Tax performance - at notional gearing</v>
      </c>
      <c r="C22" s="255" t="s">
        <v>7</v>
      </c>
      <c r="D22" s="176">
        <f>(D61)/D$65</f>
        <v>-3.8167426661360779E-3</v>
      </c>
      <c r="E22" s="177">
        <f t="shared" ref="E22:K22" si="6">(E61)/E$65</f>
        <v>-3.2060400032899133E-3</v>
      </c>
      <c r="F22" s="177">
        <f t="shared" si="6"/>
        <v>1.4406444399237596E-3</v>
      </c>
      <c r="G22" s="177">
        <f t="shared" si="6"/>
        <v>2.3210201553577089E-3</v>
      </c>
      <c r="H22" s="177">
        <f t="shared" si="6"/>
        <v>4.1355683000599639E-3</v>
      </c>
      <c r="I22" s="177">
        <f t="shared" si="6"/>
        <v>-1.5623982973328684E-3</v>
      </c>
      <c r="J22" s="177">
        <f t="shared" si="6"/>
        <v>1.0903308543769618E-2</v>
      </c>
      <c r="K22" s="178">
        <f t="shared" si="6"/>
        <v>2.4001279481099008E-2</v>
      </c>
      <c r="L22" s="174"/>
      <c r="M22" s="176">
        <f>AVERAGE(D61:INDEX(D61:K61,0,MATCH('RFPR cover'!$C$7,$D$6:$K$6,0)))/AVERAGE($D$65:INDEX($D$65:$K$65,0,MATCH('RFPR cover'!$C$7,$D$6:$K$6,0)))</f>
        <v>1.5462007021393236E-3</v>
      </c>
      <c r="N22" s="178">
        <f>AVERAGE(D61:K61)/AVERAGE($D$65:$K$65)</f>
        <v>4.4512883367079804E-3</v>
      </c>
      <c r="Q22" s="900"/>
      <c r="R22" s="515"/>
    </row>
    <row r="23" spans="2:18">
      <c r="B23" s="254" t="str">
        <f>B63</f>
        <v>RoRE - including financing and tax</v>
      </c>
      <c r="C23" s="255" t="s">
        <v>7</v>
      </c>
      <c r="D23" s="192">
        <f>SUM(D20:D22)</f>
        <v>6.3342364991294364E-2</v>
      </c>
      <c r="E23" s="193">
        <f t="shared" ref="E23:K23" si="7">SUM(E20:E22)</f>
        <v>8.4766429807955262E-2</v>
      </c>
      <c r="F23" s="193">
        <f t="shared" si="7"/>
        <v>0.11460689660144513</v>
      </c>
      <c r="G23" s="193">
        <f t="shared" si="7"/>
        <v>0.10056705652783361</v>
      </c>
      <c r="H23" s="193">
        <f t="shared" si="7"/>
        <v>8.3993911629855186E-2</v>
      </c>
      <c r="I23" s="193">
        <f t="shared" si="7"/>
        <v>6.4759361905677701E-2</v>
      </c>
      <c r="J23" s="193">
        <f t="shared" si="7"/>
        <v>0.14512099981164536</v>
      </c>
      <c r="K23" s="194">
        <f t="shared" si="7"/>
        <v>0.17946009276765476</v>
      </c>
      <c r="L23" s="175"/>
      <c r="M23" s="192">
        <f>SUM(M20:M22)</f>
        <v>9.4135709537668324E-2</v>
      </c>
      <c r="N23" s="194">
        <f>SUM(N20:N22)</f>
        <v>0.10517440653306201</v>
      </c>
      <c r="Q23" s="900"/>
      <c r="R23" s="515"/>
    </row>
    <row r="24" spans="2:18">
      <c r="D24" s="515"/>
      <c r="E24" s="515"/>
      <c r="F24" s="515"/>
      <c r="G24" s="515"/>
      <c r="H24" s="515"/>
      <c r="I24" s="515"/>
      <c r="J24" s="515"/>
      <c r="K24" s="515"/>
      <c r="Q24" s="900"/>
      <c r="R24" s="515"/>
    </row>
    <row r="25" spans="2:18">
      <c r="Q25" s="900"/>
    </row>
    <row r="26" spans="2:18" s="31" customFormat="1">
      <c r="B26" s="470"/>
      <c r="C26" s="366"/>
      <c r="Q26" s="901"/>
    </row>
    <row r="27" spans="2:18">
      <c r="B27" s="526" t="s">
        <v>209</v>
      </c>
      <c r="C27" s="424"/>
      <c r="D27" s="218"/>
      <c r="E27" s="218"/>
      <c r="F27" s="218"/>
      <c r="G27" s="218"/>
      <c r="H27" s="218"/>
      <c r="I27" s="218"/>
      <c r="J27" s="218"/>
      <c r="K27" s="218"/>
      <c r="L27" s="527"/>
      <c r="M27" s="218"/>
      <c r="N27" s="218"/>
      <c r="O27" s="218"/>
      <c r="Q27" s="900"/>
    </row>
    <row r="28" spans="2:18">
      <c r="B28" s="198"/>
      <c r="L28" s="49"/>
      <c r="Q28" s="900"/>
    </row>
    <row r="29" spans="2:18">
      <c r="B29" s="253" t="s">
        <v>208</v>
      </c>
      <c r="C29" s="255" t="s">
        <v>7</v>
      </c>
      <c r="D29" s="504">
        <f t="shared" ref="D29:K38" si="8">D48/D$66</f>
        <v>5.603046267457458E-2</v>
      </c>
      <c r="E29" s="506">
        <f t="shared" si="8"/>
        <v>5.4572662821601399E-2</v>
      </c>
      <c r="F29" s="506">
        <f t="shared" si="8"/>
        <v>5.4945292699322197E-2</v>
      </c>
      <c r="G29" s="506">
        <f t="shared" si="8"/>
        <v>5.5000064821805042E-2</v>
      </c>
      <c r="H29" s="506">
        <f t="shared" si="8"/>
        <v>5.5559729156379141E-2</v>
      </c>
      <c r="I29" s="506">
        <f t="shared" si="8"/>
        <v>5.7245813965205943E-2</v>
      </c>
      <c r="J29" s="506">
        <f t="shared" si="8"/>
        <v>5.3498779433563196E-2</v>
      </c>
      <c r="K29" s="505">
        <f t="shared" si="8"/>
        <v>5.3955903088159791E-2</v>
      </c>
      <c r="L29" s="174"/>
      <c r="M29" s="504">
        <f>AVERAGE(D48:INDEX(D48:K48,0,MATCH('RFPR cover'!$C$7,$D$6:$K$6,0)))/AVERAGE($D$66:INDEX($D$66:$K$66,0,MATCH('RFPR cover'!$C$7,$D$6:$K$6,0)))</f>
        <v>5.5242261855002688E-2</v>
      </c>
      <c r="N29" s="505">
        <f>AVERAGE(D48:K48)/AVERAGE($D$66:$K$66)</f>
        <v>5.5072397683882071E-2</v>
      </c>
      <c r="P29" s="323"/>
      <c r="Q29" s="900"/>
      <c r="R29" s="515"/>
    </row>
    <row r="30" spans="2:18">
      <c r="B30" s="253" t="str">
        <f t="shared" ref="B30:B37" si="9">B49</f>
        <v>Totex outperformance</v>
      </c>
      <c r="C30" s="255" t="s">
        <v>7</v>
      </c>
      <c r="D30" s="176">
        <f t="shared" si="8"/>
        <v>0</v>
      </c>
      <c r="E30" s="177">
        <f t="shared" si="8"/>
        <v>0</v>
      </c>
      <c r="F30" s="177">
        <f t="shared" si="8"/>
        <v>0</v>
      </c>
      <c r="G30" s="177">
        <f t="shared" si="8"/>
        <v>-1.3141421262866955E-5</v>
      </c>
      <c r="H30" s="177">
        <f t="shared" si="8"/>
        <v>-7.7583701557348561E-3</v>
      </c>
      <c r="I30" s="177">
        <f t="shared" si="8"/>
        <v>-7.9071681883212015E-3</v>
      </c>
      <c r="J30" s="177">
        <f t="shared" si="8"/>
        <v>-1.1264803657725258E-2</v>
      </c>
      <c r="K30" s="178">
        <f t="shared" si="8"/>
        <v>-1.6656301854317039E-2</v>
      </c>
      <c r="L30" s="174"/>
      <c r="M30" s="176">
        <f>AVERAGE(D49:INDEX(D49:K49,0,MATCH('RFPR cover'!$C$7,$D$6:$K$6,0)))/AVERAGE($D$66:INDEX($D$66:$K$66,0,MATCH('RFPR cover'!$C$7,$D$6:$K$6,0)))</f>
        <v>-3.9643972216291843E-3</v>
      </c>
      <c r="N30" s="178">
        <f t="shared" ref="N30:N38" si="10">AVERAGE(D49:K49)/AVERAGE($D$66:$K$66)</f>
        <v>-5.6403681217727557E-3</v>
      </c>
      <c r="Q30" s="900"/>
      <c r="R30" s="515"/>
    </row>
    <row r="31" spans="2:18">
      <c r="B31" s="253" t="str">
        <f t="shared" si="9"/>
        <v>IQI Reward</v>
      </c>
      <c r="C31" s="255" t="s">
        <v>7</v>
      </c>
      <c r="D31" s="176">
        <f t="shared" si="8"/>
        <v>-3.3191273845117708E-3</v>
      </c>
      <c r="E31" s="177">
        <f t="shared" si="8"/>
        <v>-3.1303630600780447E-3</v>
      </c>
      <c r="F31" s="177">
        <f t="shared" si="8"/>
        <v>-3.1531151138673506E-3</v>
      </c>
      <c r="G31" s="177">
        <f t="shared" si="8"/>
        <v>-2.940342531934253E-3</v>
      </c>
      <c r="H31" s="177">
        <f t="shared" si="8"/>
        <v>-2.8161303662380052E-3</v>
      </c>
      <c r="I31" s="177">
        <f t="shared" si="8"/>
        <v>-2.7257464244192756E-3</v>
      </c>
      <c r="J31" s="177">
        <f t="shared" si="8"/>
        <v>-2.3791772009829652E-3</v>
      </c>
      <c r="K31" s="178">
        <f t="shared" si="8"/>
        <v>-2.2993633119635583E-3</v>
      </c>
      <c r="L31" s="174"/>
      <c r="M31" s="176">
        <f>AVERAGE(D50:INDEX(D50:K50,0,MATCH('RFPR cover'!$C$7,$D$6:$K$6,0)))/AVERAGE($D$66:INDEX($D$66:$K$66,0,MATCH('RFPR cover'!$C$7,$D$6:$K$6,0)))</f>
        <v>-2.9144715039481194E-3</v>
      </c>
      <c r="N31" s="178">
        <f t="shared" si="10"/>
        <v>-2.8332462300399803E-3</v>
      </c>
      <c r="Q31" s="900"/>
      <c r="R31" s="515"/>
    </row>
    <row r="32" spans="2:18">
      <c r="B32" s="253" t="str">
        <f t="shared" si="9"/>
        <v>Broad measure of customer service</v>
      </c>
      <c r="C32" s="255" t="s">
        <v>7</v>
      </c>
      <c r="D32" s="176">
        <f t="shared" si="8"/>
        <v>3.7073395576007933E-3</v>
      </c>
      <c r="E32" s="177">
        <f t="shared" si="8"/>
        <v>3.5201747842667896E-3</v>
      </c>
      <c r="F32" s="177">
        <f t="shared" si="8"/>
        <v>3.9319461156011532E-3</v>
      </c>
      <c r="G32" s="177">
        <f t="shared" si="8"/>
        <v>5.0399921406516779E-3</v>
      </c>
      <c r="H32" s="177">
        <f t="shared" si="8"/>
        <v>5.4480497817783972E-3</v>
      </c>
      <c r="I32" s="177">
        <f t="shared" si="8"/>
        <v>5.6445602901431073E-3</v>
      </c>
      <c r="J32" s="177">
        <f t="shared" si="8"/>
        <v>3.8215766439532151E-3</v>
      </c>
      <c r="K32" s="178">
        <f t="shared" si="8"/>
        <v>3.9946350711612139E-3</v>
      </c>
      <c r="L32" s="174"/>
      <c r="M32" s="176">
        <f>AVERAGE(D51:INDEX(D51:K51,0,MATCH('RFPR cover'!$C$7,$D$6:$K$6,0)))/AVERAGE($D$66:INDEX($D$66:$K$66,0,MATCH('RFPR cover'!$C$7,$D$6:$K$6,0)))</f>
        <v>4.4473342926067893E-3</v>
      </c>
      <c r="N32" s="178">
        <f t="shared" si="10"/>
        <v>4.3875551858755272E-3</v>
      </c>
      <c r="Q32" s="900"/>
      <c r="R32" s="515"/>
    </row>
    <row r="33" spans="2:18">
      <c r="B33" s="253" t="str">
        <f t="shared" si="9"/>
        <v>Interruptions-related quality of service</v>
      </c>
      <c r="C33" s="255" t="s">
        <v>7</v>
      </c>
      <c r="D33" s="176">
        <f t="shared" si="8"/>
        <v>9.341681315489311E-3</v>
      </c>
      <c r="E33" s="177">
        <f t="shared" si="8"/>
        <v>1.4044096742633128E-2</v>
      </c>
      <c r="F33" s="177">
        <f t="shared" si="8"/>
        <v>1.2255895139167106E-2</v>
      </c>
      <c r="G33" s="177">
        <f t="shared" si="8"/>
        <v>6.1898829506146754E-3</v>
      </c>
      <c r="H33" s="177">
        <f t="shared" si="8"/>
        <v>7.3221533703798185E-3</v>
      </c>
      <c r="I33" s="177">
        <f t="shared" si="8"/>
        <v>1.0384221396123551E-2</v>
      </c>
      <c r="J33" s="177">
        <f t="shared" si="8"/>
        <v>1.2033336656407878E-2</v>
      </c>
      <c r="K33" s="178">
        <f t="shared" si="8"/>
        <v>1.1597327625951911E-2</v>
      </c>
      <c r="L33" s="174"/>
      <c r="M33" s="176">
        <f>AVERAGE(D52:INDEX(D52:K52,0,MATCH('RFPR cover'!$C$7,$D$6:$K$6,0)))/AVERAGE($D$66:INDEX($D$66:$K$66,0,MATCH('RFPR cover'!$C$7,$D$6:$K$6,0)))</f>
        <v>1.0229922456208884E-2</v>
      </c>
      <c r="N33" s="178">
        <f t="shared" si="10"/>
        <v>1.0410488836080102E-2</v>
      </c>
      <c r="Q33" s="900"/>
      <c r="R33" s="515"/>
    </row>
    <row r="34" spans="2:18">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6">
        <f>AVERAGE(D53:INDEX(D53:K53,0,MATCH('RFPR cover'!$C$7,$D$6:$K$6,0)))/AVERAGE($D$66:INDEX($D$66:$K$66,0,MATCH('RFPR cover'!$C$7,$D$6:$K$6,0)))</f>
        <v>0</v>
      </c>
      <c r="N34" s="178">
        <f t="shared" si="10"/>
        <v>0</v>
      </c>
      <c r="Q34" s="900"/>
      <c r="R34" s="515"/>
    </row>
    <row r="35" spans="2:18">
      <c r="B35" s="253" t="str">
        <f t="shared" si="9"/>
        <v>Time to Connect Incentive</v>
      </c>
      <c r="C35" s="255" t="s">
        <v>7</v>
      </c>
      <c r="D35" s="176">
        <f t="shared" si="8"/>
        <v>1.3880045550628297E-3</v>
      </c>
      <c r="E35" s="177">
        <f t="shared" si="8"/>
        <v>8.3669256266368506E-4</v>
      </c>
      <c r="F35" s="177">
        <f t="shared" si="8"/>
        <v>8.3307473104816899E-4</v>
      </c>
      <c r="G35" s="177">
        <f t="shared" si="8"/>
        <v>8.2051484311971667E-4</v>
      </c>
      <c r="H35" s="177">
        <f t="shared" si="8"/>
        <v>8.1188446710758408E-4</v>
      </c>
      <c r="I35" s="177">
        <f t="shared" si="8"/>
        <v>7.6387082948422256E-4</v>
      </c>
      <c r="J35" s="177">
        <f t="shared" si="8"/>
        <v>7.0568240910566472E-4</v>
      </c>
      <c r="K35" s="178">
        <f t="shared" si="8"/>
        <v>7.7315517506346067E-4</v>
      </c>
      <c r="L35" s="174"/>
      <c r="M35" s="176">
        <f>AVERAGE(D54:INDEX(D54:K54,0,MATCH('RFPR cover'!$C$7,$D$6:$K$6,0)))/AVERAGE($D$66:INDEX($D$66:$K$66,0,MATCH('RFPR cover'!$C$7,$D$6:$K$6,0)))</f>
        <v>8.7484892344575249E-4</v>
      </c>
      <c r="N35" s="178">
        <f t="shared" si="10"/>
        <v>8.6142022476357906E-4</v>
      </c>
      <c r="Q35" s="900"/>
      <c r="R35" s="515"/>
    </row>
    <row r="36" spans="2:18">
      <c r="B36" s="253" t="str">
        <f t="shared" si="9"/>
        <v>Losses discretionary reward scheme</v>
      </c>
      <c r="C36" s="255" t="s">
        <v>7</v>
      </c>
      <c r="D36" s="176">
        <f t="shared" si="8"/>
        <v>0</v>
      </c>
      <c r="E36" s="177">
        <f t="shared" si="8"/>
        <v>5.3687772770919797E-4</v>
      </c>
      <c r="F36" s="177">
        <f t="shared" si="8"/>
        <v>0</v>
      </c>
      <c r="G36" s="177">
        <f t="shared" si="8"/>
        <v>0</v>
      </c>
      <c r="H36" s="177">
        <f t="shared" si="8"/>
        <v>0</v>
      </c>
      <c r="I36" s="177">
        <f t="shared" si="8"/>
        <v>0</v>
      </c>
      <c r="J36" s="177">
        <f t="shared" si="8"/>
        <v>0</v>
      </c>
      <c r="K36" s="178">
        <f t="shared" si="8"/>
        <v>0</v>
      </c>
      <c r="L36" s="174"/>
      <c r="M36" s="176">
        <f>AVERAGE(D55:INDEX(D55:K55,0,MATCH('RFPR cover'!$C$7,$D$6:$K$6,0)))/AVERAGE($D$66:INDEX($D$66:$K$66,0,MATCH('RFPR cover'!$C$7,$D$6:$K$6,0)))</f>
        <v>7.5478160146992616E-5</v>
      </c>
      <c r="N36" s="178">
        <f t="shared" si="10"/>
        <v>6.5511239998779493E-5</v>
      </c>
      <c r="Q36" s="900"/>
      <c r="R36" s="515"/>
    </row>
    <row r="37" spans="2:18">
      <c r="B37" s="253" t="str">
        <f t="shared" si="9"/>
        <v xml:space="preserve">Network Innovation </v>
      </c>
      <c r="C37" s="255" t="s">
        <v>7</v>
      </c>
      <c r="D37" s="176">
        <f t="shared" si="8"/>
        <v>-2.8452285065596906E-4</v>
      </c>
      <c r="E37" s="177">
        <f t="shared" si="8"/>
        <v>-3.4830861784787207E-4</v>
      </c>
      <c r="F37" s="177">
        <f t="shared" si="8"/>
        <v>-2.3228811233503793E-4</v>
      </c>
      <c r="G37" s="177">
        <f t="shared" si="8"/>
        <v>9.7654011780832595E-4</v>
      </c>
      <c r="H37" s="177">
        <f t="shared" si="8"/>
        <v>-2.8014197941367551E-4</v>
      </c>
      <c r="I37" s="177">
        <f t="shared" si="8"/>
        <v>-3.1267193399703015E-4</v>
      </c>
      <c r="J37" s="177">
        <f t="shared" si="8"/>
        <v>-2.9083625986564169E-4</v>
      </c>
      <c r="K37" s="178">
        <f t="shared" si="8"/>
        <v>-2.3356624463017258E-4</v>
      </c>
      <c r="L37" s="174"/>
      <c r="M37" s="176">
        <f>AVERAGE(D56:INDEX(D56:K56,0,MATCH('RFPR cover'!$C$7,$D$6:$K$6,0)))/AVERAGE($D$66:INDEX($D$66:$K$66,0,MATCH('RFPR cover'!$C$7,$D$6:$K$6,0)))</f>
        <v>-1.096547876249573E-4</v>
      </c>
      <c r="N37" s="178">
        <f t="shared" si="10"/>
        <v>-1.260173432968834E-4</v>
      </c>
      <c r="Q37" s="900"/>
      <c r="R37" s="515"/>
    </row>
    <row r="38" spans="2:18">
      <c r="B38" s="253" t="str">
        <f>B57</f>
        <v>Penalties and fines</v>
      </c>
      <c r="C38" s="255" t="s">
        <v>7</v>
      </c>
      <c r="D38" s="186">
        <f t="shared" si="8"/>
        <v>-2.912003520956619E-6</v>
      </c>
      <c r="E38" s="187">
        <f t="shared" si="8"/>
        <v>-1.0371391705914598E-5</v>
      </c>
      <c r="F38" s="187">
        <f t="shared" si="8"/>
        <v>-7.0562025390778824E-6</v>
      </c>
      <c r="G38" s="187">
        <f t="shared" si="8"/>
        <v>-5.6530654477269474E-5</v>
      </c>
      <c r="H38" s="187">
        <f t="shared" si="8"/>
        <v>-1.2217073198478429E-4</v>
      </c>
      <c r="I38" s="187">
        <f t="shared" si="8"/>
        <v>-6.0537066921770581E-5</v>
      </c>
      <c r="J38" s="187">
        <f t="shared" si="8"/>
        <v>-1.4865738266775551E-3</v>
      </c>
      <c r="K38" s="188">
        <f t="shared" si="8"/>
        <v>0</v>
      </c>
      <c r="L38" s="174"/>
      <c r="M38" s="186">
        <f>AVERAGE(D57:INDEX(D57:K57,0,MATCH('RFPR cover'!$C$7,$D$6:$K$6,0)))/AVERAGE($D$66:INDEX($D$66:$K$66,0,MATCH('RFPR cover'!$C$7,$D$6:$K$6,0)))</f>
        <v>-2.6427066466779258E-4</v>
      </c>
      <c r="N38" s="188">
        <f t="shared" si="10"/>
        <v>-2.2937362150816221E-4</v>
      </c>
      <c r="Q38" s="900"/>
      <c r="R38" s="515"/>
    </row>
    <row r="39" spans="2:18">
      <c r="B39" s="254" t="str">
        <f>B58</f>
        <v>RoRE - Operational performance</v>
      </c>
      <c r="C39" s="255" t="s">
        <v>7</v>
      </c>
      <c r="D39" s="189">
        <f t="shared" ref="D39:K39" si="11">SUM(D29:D38)</f>
        <v>6.6860925864038814E-2</v>
      </c>
      <c r="E39" s="190">
        <f t="shared" si="11"/>
        <v>7.0021461569242369E-2</v>
      </c>
      <c r="F39" s="190">
        <f t="shared" si="11"/>
        <v>6.8573749256397157E-2</v>
      </c>
      <c r="G39" s="190">
        <f t="shared" si="11"/>
        <v>6.5016980266325061E-2</v>
      </c>
      <c r="H39" s="190">
        <f t="shared" si="11"/>
        <v>5.8165003542273622E-2</v>
      </c>
      <c r="I39" s="190">
        <f t="shared" si="11"/>
        <v>6.3032342867297531E-2</v>
      </c>
      <c r="J39" s="190">
        <f t="shared" si="11"/>
        <v>5.4637984197778537E-2</v>
      </c>
      <c r="K39" s="191">
        <f t="shared" si="11"/>
        <v>5.1131789549425606E-2</v>
      </c>
      <c r="L39" s="175"/>
      <c r="M39" s="189">
        <f>SUM(M29:M38)</f>
        <v>6.3617051509541056E-2</v>
      </c>
      <c r="N39" s="191">
        <f>SUM(N29:N38)</f>
        <v>6.1968367853982277E-2</v>
      </c>
      <c r="Q39" s="900"/>
      <c r="R39" s="515"/>
    </row>
    <row r="40" spans="2:18">
      <c r="B40" s="253" t="s">
        <v>443</v>
      </c>
      <c r="C40" s="255" t="s">
        <v>7</v>
      </c>
      <c r="D40" s="176">
        <f>(D59+D60)/D$66</f>
        <v>-2.6878407835888313E-3</v>
      </c>
      <c r="E40" s="177">
        <f t="shared" ref="E40:K40" si="12">(E59+E60)/E$66</f>
        <v>1.1187579261251392E-2</v>
      </c>
      <c r="F40" s="177">
        <f t="shared" si="12"/>
        <v>3.4865499125280558E-2</v>
      </c>
      <c r="G40" s="177">
        <f t="shared" si="12"/>
        <v>2.5209493353229046E-2</v>
      </c>
      <c r="H40" s="177">
        <f t="shared" si="12"/>
        <v>1.6267155351309369E-2</v>
      </c>
      <c r="I40" s="177">
        <f t="shared" si="12"/>
        <v>9.0052567263115054E-4</v>
      </c>
      <c r="J40" s="177">
        <f t="shared" si="12"/>
        <v>6.2202908580513173E-2</v>
      </c>
      <c r="K40" s="178">
        <f t="shared" si="12"/>
        <v>8.4518127290446388E-2</v>
      </c>
      <c r="L40" s="174"/>
      <c r="M40" s="176">
        <f>(AVERAGE(D59:INDEX(D59:K59,0,MATCH('RFPR cover'!$C$7,$D$6:$K$6,0)))+AVERAGE(D60:INDEX(D60:K60,0,MATCH('RFPR cover'!$C$7,$D$6:$K$6,0))))/AVERAGE($D$66:INDEX($D$66:$K$66,0,MATCH('RFPR cover'!$C$7,$D$6:$K$6,0)))</f>
        <v>2.1723022539403E-2</v>
      </c>
      <c r="N40" s="178">
        <f>(AVERAGE(D59:K59)+AVERAGE(D60:K60))/AVERAGE($D$66:$K$66)</f>
        <v>3.0015140332595714E-2</v>
      </c>
      <c r="Q40" s="900"/>
      <c r="R40" s="515"/>
    </row>
    <row r="41" spans="2:18">
      <c r="B41" s="253" t="s">
        <v>444</v>
      </c>
      <c r="C41" s="255" t="s">
        <v>7</v>
      </c>
      <c r="D41" s="176">
        <f>(D61+D62)/D$66</f>
        <v>-3.564230958223228E-3</v>
      </c>
      <c r="E41" s="177">
        <f t="shared" ref="E41:K41" si="13">(E61+E62)/E$66</f>
        <v>-2.9160356682017747E-3</v>
      </c>
      <c r="F41" s="177">
        <f t="shared" si="13"/>
        <v>1.319277173787698E-3</v>
      </c>
      <c r="G41" s="177">
        <f t="shared" si="13"/>
        <v>2.1276043166231651E-3</v>
      </c>
      <c r="H41" s="177">
        <f t="shared" si="13"/>
        <v>3.8295175776506458E-3</v>
      </c>
      <c r="I41" s="177">
        <f t="shared" si="13"/>
        <v>-1.4906793711445317E-3</v>
      </c>
      <c r="J41" s="177">
        <f t="shared" si="13"/>
        <v>9.7218949813202664E-3</v>
      </c>
      <c r="K41" s="178">
        <f t="shared" si="13"/>
        <v>2.1583511827900272E-2</v>
      </c>
      <c r="L41" s="174"/>
      <c r="M41" s="176">
        <f>(AVERAGE(D61:INDEX(D61:K61,0,MATCH('RFPR cover'!$C$7,$D$6:$K$6,0)))+AVERAGE(D62:INDEX(D62:K62,0,MATCH('RFPR cover'!$C$7,$D$6:$K$6,0))))/AVERAGE($D$66:INDEX($D$66:$K$66,0,MATCH('RFPR cover'!$C$7,$D$6:$K$6,0)))</f>
        <v>1.4235937344661573E-3</v>
      </c>
      <c r="N41" s="178">
        <f>(AVERAGE(D61:K61)+AVERAGE(D62:K62))/AVERAGE($D$66:$K$66)</f>
        <v>4.0857186914134633E-3</v>
      </c>
      <c r="Q41" s="900"/>
      <c r="R41" s="515"/>
    </row>
    <row r="42" spans="2:18">
      <c r="B42" s="254" t="str">
        <f>B63</f>
        <v>RoRE - including financing and tax</v>
      </c>
      <c r="C42" s="255" t="s">
        <v>7</v>
      </c>
      <c r="D42" s="192">
        <f>SUM(D39:D41)</f>
        <v>6.060885412222676E-2</v>
      </c>
      <c r="E42" s="193">
        <f t="shared" ref="E42:K42" si="14">SUM(E39:E41)</f>
        <v>7.8293005162291998E-2</v>
      </c>
      <c r="F42" s="193">
        <f t="shared" si="14"/>
        <v>0.10475852555546541</v>
      </c>
      <c r="G42" s="193">
        <f t="shared" si="14"/>
        <v>9.2354077936177267E-2</v>
      </c>
      <c r="H42" s="193">
        <f t="shared" si="14"/>
        <v>7.8261676471233624E-2</v>
      </c>
      <c r="I42" s="193">
        <f t="shared" si="14"/>
        <v>6.2442189168784142E-2</v>
      </c>
      <c r="J42" s="193">
        <f t="shared" si="14"/>
        <v>0.12656278775961197</v>
      </c>
      <c r="K42" s="194">
        <f t="shared" si="14"/>
        <v>0.15723342866777226</v>
      </c>
      <c r="L42" s="175"/>
      <c r="M42" s="192">
        <f>SUM(M39:M41)</f>
        <v>8.6763667783410214E-2</v>
      </c>
      <c r="N42" s="194">
        <f>SUM(N39:N41)</f>
        <v>9.6069226877991465E-2</v>
      </c>
      <c r="Q42" s="900"/>
      <c r="R42" s="515"/>
    </row>
    <row r="43" spans="2:18" s="31" customFormat="1">
      <c r="B43" s="471"/>
      <c r="C43" s="472"/>
      <c r="D43" s="893"/>
      <c r="E43" s="893"/>
      <c r="F43" s="893"/>
      <c r="G43" s="893"/>
      <c r="H43" s="893"/>
      <c r="I43" s="893"/>
      <c r="J43" s="893"/>
      <c r="K43" s="893"/>
      <c r="L43" s="474"/>
      <c r="M43" s="473"/>
      <c r="N43" s="473"/>
    </row>
    <row r="44" spans="2:18" s="31" customFormat="1">
      <c r="B44" s="471"/>
      <c r="C44" s="472"/>
      <c r="D44" s="473"/>
      <c r="E44" s="473"/>
      <c r="F44" s="473"/>
      <c r="G44" s="473"/>
      <c r="H44" s="473"/>
      <c r="I44" s="473"/>
      <c r="J44" s="473"/>
      <c r="K44" s="473"/>
      <c r="L44" s="474"/>
      <c r="M44" s="473"/>
      <c r="N44" s="473"/>
    </row>
    <row r="45" spans="2:18" s="31" customFormat="1">
      <c r="B45" s="520" t="s">
        <v>385</v>
      </c>
      <c r="C45" s="521"/>
      <c r="D45" s="522"/>
      <c r="E45" s="522"/>
      <c r="F45" s="522"/>
      <c r="G45" s="522"/>
      <c r="H45" s="522"/>
      <c r="I45" s="522"/>
      <c r="J45" s="522"/>
      <c r="K45" s="522"/>
      <c r="L45" s="523"/>
      <c r="M45" s="522"/>
      <c r="N45" s="522"/>
      <c r="O45" s="218"/>
    </row>
    <row r="46" spans="2:18"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row>
    <row r="48" spans="2:18">
      <c r="B48" s="248" t="s">
        <v>221</v>
      </c>
      <c r="C48" s="343" t="str">
        <f>'RFPR cover'!$C$14</f>
        <v>£m 12/13</v>
      </c>
      <c r="D48" s="179">
        <f>'R9 - RAV'!D50</f>
        <v>31.455419715518801</v>
      </c>
      <c r="E48" s="180">
        <f>'R9 - RAV'!E50</f>
        <v>31.698995921347905</v>
      </c>
      <c r="F48" s="180">
        <f>'R9 - RAV'!F50</f>
        <v>32.054041800394707</v>
      </c>
      <c r="G48" s="180">
        <f>'R9 - RAV'!G50</f>
        <v>32.577145590402466</v>
      </c>
      <c r="H48" s="180">
        <f>'R9 - RAV'!H50</f>
        <v>33.14095323393515</v>
      </c>
      <c r="I48" s="180">
        <f>'R9 - RAV'!I50</f>
        <v>33.549370136085251</v>
      </c>
      <c r="J48" s="180">
        <f>'R9 - RAV'!J50</f>
        <v>33.766247575988018</v>
      </c>
      <c r="K48" s="181">
        <f>'R9 - RAV'!K50</f>
        <v>33.916307808058463</v>
      </c>
      <c r="M48" s="96">
        <f>SUM(D48:INDEX(D48:K48,0,MATCH('RFPR cover'!$C$7,$D$6:$K$6,0)))</f>
        <v>228.24217397367232</v>
      </c>
      <c r="N48" s="98">
        <f>SUM(D48:K48)</f>
        <v>262.15848178173076</v>
      </c>
    </row>
    <row r="49" spans="2:14">
      <c r="B49" s="248" t="s">
        <v>99</v>
      </c>
      <c r="C49" s="343" t="str">
        <f>'RFPR cover'!$C$14</f>
        <v>£m 12/13</v>
      </c>
      <c r="D49" s="252">
        <f>'R4 - Totex'!D35+'R4 - Totex'!D63</f>
        <v>0</v>
      </c>
      <c r="E49" s="252">
        <f>'R4 - Totex'!E35+'R4 - Totex'!E63</f>
        <v>0</v>
      </c>
      <c r="F49" s="252">
        <f>'R4 - Totex'!F35+'R4 - Totex'!F63</f>
        <v>0</v>
      </c>
      <c r="G49" s="252">
        <f>'R4 - Totex'!G35+'R4 - Totex'!G63</f>
        <v>-7.783808894266997E-3</v>
      </c>
      <c r="H49" s="252">
        <f>'R4 - Totex'!H35+'R4 - Totex'!H63</f>
        <v>-4.6278084217990756</v>
      </c>
      <c r="I49" s="252">
        <f>'R4 - Totex'!I35+'R4 - Totex'!I63</f>
        <v>-4.6340595740241266</v>
      </c>
      <c r="J49" s="252">
        <f>'R4 - Totex'!J35+'R4 - Totex'!J63</f>
        <v>-7.1098846222090817</v>
      </c>
      <c r="K49" s="183">
        <f>'R4 - Totex'!K35+'R4 - Totex'!K63</f>
        <v>-10.470036238887808</v>
      </c>
      <c r="M49" s="99">
        <f>SUM(D49:INDEX(D49:K49,0,MATCH('RFPR cover'!$C$7,$D$6:$K$6,0)))</f>
        <v>-16.379536426926549</v>
      </c>
      <c r="N49" s="101">
        <f>SUM(D49:K49)</f>
        <v>-26.849572665814357</v>
      </c>
    </row>
    <row r="50" spans="2:14">
      <c r="B50" s="250" t="s">
        <v>107</v>
      </c>
      <c r="C50" s="343" t="str">
        <f>'RFPR cover'!$C$14</f>
        <v>£m 12/13</v>
      </c>
      <c r="D50" s="243">
        <f>'R4 - Totex'!D79</f>
        <v>-1.8633532543800757</v>
      </c>
      <c r="E50" s="182">
        <f>'R4 - Totex'!E79</f>
        <v>-1.8182980405067262</v>
      </c>
      <c r="F50" s="182">
        <f>'R4 - Totex'!F79</f>
        <v>-1.83946756302578</v>
      </c>
      <c r="G50" s="182">
        <f>'R4 - Totex'!G79</f>
        <v>-1.7415973428180247</v>
      </c>
      <c r="H50" s="182">
        <f>'R4 - Totex'!H79</f>
        <v>-1.6798002111470465</v>
      </c>
      <c r="I50" s="182">
        <f>'R4 - Totex'!I79</f>
        <v>-1.5974456358596774</v>
      </c>
      <c r="J50" s="182">
        <f>'R4 - Totex'!J79</f>
        <v>-1.5016396120831343</v>
      </c>
      <c r="K50" s="183">
        <f>'R4 - Totex'!K79</f>
        <v>-1.4453638876860204</v>
      </c>
      <c r="M50" s="99">
        <f>SUM(D50:INDEX(D50:K50,0,MATCH('RFPR cover'!$C$7,$D$6:$K$6,0)))</f>
        <v>-12.041601659820465</v>
      </c>
      <c r="N50" s="101">
        <f t="shared" ref="N50:N57" si="15">SUM(D50:K50)</f>
        <v>-13.486965547506486</v>
      </c>
    </row>
    <row r="51" spans="2:14">
      <c r="B51" s="251" t="str">
        <f>'R5 - Output Incentives'!B39</f>
        <v>Broad measure of customer service</v>
      </c>
      <c r="C51" s="343" t="str">
        <f>'RFPR cover'!$C$14</f>
        <v>£m 12/13</v>
      </c>
      <c r="D51" s="243">
        <f>'R5 - Output Incentives'!D39</f>
        <v>2.0812950000000008</v>
      </c>
      <c r="E51" s="182">
        <f>'R5 - Output Incentives'!E39</f>
        <v>2.0447235000000004</v>
      </c>
      <c r="F51" s="182">
        <f>'R5 - Output Incentives'!F39</f>
        <v>2.2938228000000032</v>
      </c>
      <c r="G51" s="182">
        <f>'R5 - Output Incentives'!G39</f>
        <v>2.9852429860300917</v>
      </c>
      <c r="H51" s="182">
        <f>'R5 - Output Incentives'!H39</f>
        <v>3.2497200000000004</v>
      </c>
      <c r="I51" s="182">
        <f>'R5 - Output Incentives'!I39</f>
        <v>3.3080400000000001</v>
      </c>
      <c r="J51" s="182">
        <f>'R5 - Output Incentives'!J39</f>
        <v>2.4120233107483284</v>
      </c>
      <c r="K51" s="183">
        <f>'R5 - Output Incentives'!K39</f>
        <v>2.5110000000000001</v>
      </c>
      <c r="M51" s="99">
        <f>SUM(D51:INDEX(D51:K51,0,MATCH('RFPR cover'!$C$7,$D$6:$K$6,0)))</f>
        <v>18.374867596778426</v>
      </c>
      <c r="N51" s="101">
        <f t="shared" si="15"/>
        <v>20.885867596778425</v>
      </c>
    </row>
    <row r="52" spans="2:14">
      <c r="B52" s="251" t="str">
        <f>'R5 - Output Incentives'!B40</f>
        <v>Interruptions-related quality of service</v>
      </c>
      <c r="C52" s="343" t="str">
        <f>'RFPR cover'!$C$14</f>
        <v>£m 12/13</v>
      </c>
      <c r="D52" s="243">
        <f>'R5 - Output Incentives'!D40</f>
        <v>5.2444062140625034</v>
      </c>
      <c r="E52" s="182">
        <f>'R5 - Output Incentives'!E40</f>
        <v>8.1576331874999983</v>
      </c>
      <c r="F52" s="182">
        <f>'R5 - Output Incentives'!F40</f>
        <v>7.1498568083333351</v>
      </c>
      <c r="G52" s="182">
        <f>'R5 - Output Incentives'!G40</f>
        <v>3.6663360074764797</v>
      </c>
      <c r="H52" s="182">
        <f>'R5 - Output Incentives'!H40</f>
        <v>4.3676084477743826</v>
      </c>
      <c r="I52" s="182">
        <f>'R5 - Output Incentives'!I40</f>
        <v>6.0857565481618119</v>
      </c>
      <c r="J52" s="182">
        <f>'R5 - Output Incentives'!J40</f>
        <v>7.5949513055725797</v>
      </c>
      <c r="K52" s="183">
        <f>'R5 - Output Incentives'!K40</f>
        <v>7.2900000000000009</v>
      </c>
      <c r="M52" s="99">
        <f>SUM(D52:INDEX(D52:K52,0,MATCH('RFPR cover'!$C$7,$D$6:$K$6,0)))</f>
        <v>42.266548518881095</v>
      </c>
      <c r="N52" s="101">
        <f t="shared" si="15"/>
        <v>49.556548518881094</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9">
        <f>SUM(D53:INDEX(D53:K53,0,MATCH('RFPR cover'!$C$7,$D$6:$K$6,0)))</f>
        <v>0</v>
      </c>
      <c r="N53" s="101">
        <f t="shared" si="15"/>
        <v>0</v>
      </c>
    </row>
    <row r="54" spans="2:14">
      <c r="B54" s="251" t="str">
        <f>'R5 - Output Incentives'!B42</f>
        <v>Time to Connect Incentive</v>
      </c>
      <c r="C54" s="343" t="str">
        <f>'RFPR cover'!$C$14</f>
        <v>£m 12/13</v>
      </c>
      <c r="D54" s="243">
        <f>'R5 - Output Incentives'!D42</f>
        <v>0.77922372513917015</v>
      </c>
      <c r="E54" s="182">
        <f>'R5 - Output Incentives'!E42</f>
        <v>0.48599999999999999</v>
      </c>
      <c r="F54" s="182">
        <f>'R5 - Output Incentives'!F42</f>
        <v>0.48599999999999999</v>
      </c>
      <c r="G54" s="182">
        <f>'R5 - Output Incentives'!G42</f>
        <v>0.48599999999999999</v>
      </c>
      <c r="H54" s="182">
        <f>'R5 - Output Incentives'!H42</f>
        <v>0.48428287114285717</v>
      </c>
      <c r="I54" s="182">
        <f>'R5 - Output Incentives'!I42</f>
        <v>0.44767264921939959</v>
      </c>
      <c r="J54" s="182">
        <f>'R5 - Output Incentives'!J42</f>
        <v>0.44539795464814957</v>
      </c>
      <c r="K54" s="183">
        <f>'R5 - Output Incentives'!K42</f>
        <v>0.48599999999999999</v>
      </c>
      <c r="M54" s="99">
        <f>SUM(D54:INDEX(D54:K54,0,MATCH('RFPR cover'!$C$7,$D$6:$K$6,0)))</f>
        <v>3.6145772001495766</v>
      </c>
      <c r="N54" s="101">
        <f t="shared" si="15"/>
        <v>4.1005772001495764</v>
      </c>
    </row>
    <row r="55" spans="2:14">
      <c r="B55" s="251" t="str">
        <f>'R5 - Output Incentives'!B43</f>
        <v>Losses discretionary reward scheme</v>
      </c>
      <c r="C55" s="343" t="str">
        <f>'RFPR cover'!$C$14</f>
        <v>£m 12/13</v>
      </c>
      <c r="D55" s="243">
        <f>'R5 - Output Incentives'!D43</f>
        <v>0</v>
      </c>
      <c r="E55" s="182">
        <f>'R5 - Output Incentives'!E43</f>
        <v>0.31185000000000002</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9">
        <f>SUM(D55:INDEX(D55:K55,0,MATCH('RFPR cover'!$C$7,$D$6:$K$6,0)))</f>
        <v>0.31185000000000002</v>
      </c>
      <c r="N55" s="101">
        <f t="shared" si="15"/>
        <v>0.31185000000000002</v>
      </c>
    </row>
    <row r="56" spans="2:14">
      <c r="B56" s="248" t="s">
        <v>484</v>
      </c>
      <c r="C56" s="343" t="str">
        <f>'RFPR cover'!$C$14</f>
        <v>£m 12/13</v>
      </c>
      <c r="D56" s="243">
        <f>-'R6 - Innovation'!D28</f>
        <v>-0.15973071180974918</v>
      </c>
      <c r="E56" s="182">
        <f>-'R6 - Innovation'!E28</f>
        <v>-0.20231802674946017</v>
      </c>
      <c r="F56" s="182">
        <f>-'R6 - Innovation'!F28</f>
        <v>-0.13551247971810218</v>
      </c>
      <c r="G56" s="182">
        <f>-'R6 - Innovation'!G28</f>
        <v>0.57841549270498749</v>
      </c>
      <c r="H56" s="182">
        <f>-'R6 - Innovation'!H28</f>
        <v>-0.1671025467471105</v>
      </c>
      <c r="I56" s="182">
        <f>-'R6 - Innovation'!I28</f>
        <v>-0.18324390410812888</v>
      </c>
      <c r="J56" s="182">
        <f>-'R6 - Innovation'!J28</f>
        <v>-0.18356398517265332</v>
      </c>
      <c r="K56" s="183">
        <f>-'R6 - Innovation'!K28</f>
        <v>-0.14681812726784982</v>
      </c>
      <c r="M56" s="99">
        <f>SUM(D56:INDEX(D56:K56,0,MATCH('RFPR cover'!$C$7,$D$6:$K$6,0)))</f>
        <v>-0.45305616160021683</v>
      </c>
      <c r="N56" s="101">
        <f t="shared" si="15"/>
        <v>-0.5998742888680666</v>
      </c>
    </row>
    <row r="57" spans="2:14">
      <c r="B57" s="248" t="s">
        <v>33</v>
      </c>
      <c r="C57" s="343" t="str">
        <f>'RFPR cover'!$C$14</f>
        <v>£m 12/13</v>
      </c>
      <c r="D57" s="244">
        <f>-'R13 - Other Activities '!D8</f>
        <v>-1.6347945134196499E-3</v>
      </c>
      <c r="E57" s="244">
        <f>-'R13 - Other Activities '!E8</f>
        <v>-6.0243111914699303E-3</v>
      </c>
      <c r="F57" s="244">
        <f>-'R13 - Other Activities '!F8</f>
        <v>-4.1164547503164698E-3</v>
      </c>
      <c r="G57" s="244">
        <f>-'R13 - Other Activities '!G8</f>
        <v>-3.3483730740925068E-2</v>
      </c>
      <c r="H57" s="244">
        <f>-'R13 - Other Activities '!H8</f>
        <v>-7.2873906635998936E-2</v>
      </c>
      <c r="I57" s="244">
        <f>-'R13 - Other Activities '!I8</f>
        <v>-3.5478235427762038E-2</v>
      </c>
      <c r="J57" s="244">
        <f>-'R13 - Other Activities '!J8</f>
        <v>-0.93826476796379144</v>
      </c>
      <c r="K57" s="1009">
        <f>-'R13 - Other Activities '!K8</f>
        <v>0</v>
      </c>
      <c r="M57" s="93">
        <f>SUM(D57:INDEX(D57:K57,0,MATCH('RFPR cover'!$C$7,$D$6:$K$6,0)))</f>
        <v>-1.0918762012236836</v>
      </c>
      <c r="N57" s="95">
        <f t="shared" si="15"/>
        <v>-1.0918762012236836</v>
      </c>
    </row>
    <row r="58" spans="2:14">
      <c r="B58" s="249" t="s">
        <v>100</v>
      </c>
      <c r="C58" s="343" t="str">
        <f>'RFPR cover'!$C$14</f>
        <v>£m 12/13</v>
      </c>
      <c r="D58" s="245">
        <f t="shared" ref="D58:K58" si="16">SUM(D48:D57)</f>
        <v>37.535625894017222</v>
      </c>
      <c r="E58" s="144">
        <f t="shared" si="16"/>
        <v>40.672562230400246</v>
      </c>
      <c r="F58" s="144">
        <f t="shared" si="16"/>
        <v>40.00462491123384</v>
      </c>
      <c r="G58" s="144">
        <f t="shared" si="16"/>
        <v>38.510275194160805</v>
      </c>
      <c r="H58" s="144">
        <f t="shared" si="16"/>
        <v>34.694979466523165</v>
      </c>
      <c r="I58" s="144">
        <f t="shared" si="16"/>
        <v>36.940611984046761</v>
      </c>
      <c r="J58" s="144">
        <f t="shared" si="16"/>
        <v>34.485267159528412</v>
      </c>
      <c r="K58" s="145">
        <f t="shared" si="16"/>
        <v>32.141089554216784</v>
      </c>
      <c r="M58" s="143">
        <f>SUM(M48:M57)</f>
        <v>262.84394683991053</v>
      </c>
      <c r="N58" s="145">
        <f>SUM(N48:N57)</f>
        <v>294.98503639412723</v>
      </c>
    </row>
    <row r="59" spans="2:14">
      <c r="B59" s="248" t="s">
        <v>426</v>
      </c>
      <c r="C59" s="343" t="str">
        <f>'RFPR cover'!$C$14</f>
        <v>£m 12/13</v>
      </c>
      <c r="D59" s="243">
        <f>'R7 - Financing'!D88+'R10 - Tax'!D88</f>
        <v>-2.3269939092807741</v>
      </c>
      <c r="E59" s="243">
        <f>'R7 - Financing'!E88+'R10 - Tax'!E88</f>
        <v>5.8047537985591324</v>
      </c>
      <c r="F59" s="243">
        <f>'R7 - Financing'!F88+'R10 - Tax'!F88</f>
        <v>20.452638041756387</v>
      </c>
      <c r="G59" s="243">
        <f>'R7 - Financing'!G88+'R10 - Tax'!G88</f>
        <v>14.832648648941253</v>
      </c>
      <c r="H59" s="243">
        <f>'R7 - Financing'!H88+'R10 - Tax'!H88</f>
        <v>9.4147142273481812</v>
      </c>
      <c r="I59" s="243">
        <f>'R7 - Financing'!I88+'R10 - Tax'!I88</f>
        <v>0.14360936807807603</v>
      </c>
      <c r="J59" s="243">
        <f>'R7 - Financing'!J88+'R10 - Tax'!J88</f>
        <v>41.048529380948544</v>
      </c>
      <c r="K59" s="183">
        <f>'R7 - Financing'!K88+'R10 - Tax'!K88</f>
        <v>55.735393160821758</v>
      </c>
      <c r="M59" s="99">
        <f>SUM(D59:INDEX(D59:K59,0,MATCH('RFPR cover'!$C$7,$D$6:$K$6,0)))</f>
        <v>89.369899556350788</v>
      </c>
      <c r="N59" s="101">
        <f>SUM(D59:K59)</f>
        <v>145.10529271717255</v>
      </c>
    </row>
    <row r="60" spans="2:14">
      <c r="B60" s="248" t="s">
        <v>421</v>
      </c>
      <c r="C60" s="343" t="str">
        <f>'RFPR cover'!$C$14</f>
        <v>£m 12/13</v>
      </c>
      <c r="D60" s="243">
        <f>'R7 - Financing'!D90+'R10 - Tax'!D89</f>
        <v>0.81804402843959156</v>
      </c>
      <c r="E60" s="243">
        <f>'R7 - Financing'!E90+'R10 - Tax'!E89</f>
        <v>0.69364688479161174</v>
      </c>
      <c r="F60" s="243">
        <f>'R7 - Financing'!F90+'R10 - Tax'!F89</f>
        <v>-0.11276702734363653</v>
      </c>
      <c r="G60" s="243">
        <f>'R7 - Financing'!G90+'R10 - Tax'!G89</f>
        <v>9.9212575026544236E-2</v>
      </c>
      <c r="H60" s="243">
        <f>'R7 - Financing'!H90+'R10 - Tax'!H89</f>
        <v>0.28851944446325462</v>
      </c>
      <c r="I60" s="243">
        <f>'R7 - Financing'!I90+'R10 - Tax'!I89</f>
        <v>0.38415095211778194</v>
      </c>
      <c r="J60" s="243">
        <f>'R7 - Financing'!J90+'R10 - Tax'!J89</f>
        <v>-1.7885904942219337</v>
      </c>
      <c r="K60" s="183">
        <f>'R7 - Financing'!K90+'R10 - Tax'!K89</f>
        <v>-2.6078824256249931</v>
      </c>
      <c r="M60" s="99">
        <f>SUM(D60:INDEX(D60:K60,0,MATCH('RFPR cover'!$C$7,$D$6:$K$6,0)))</f>
        <v>0.38221636327321384</v>
      </c>
      <c r="N60" s="101">
        <f>SUM(D60:K60)</f>
        <v>-2.2256660623517792</v>
      </c>
    </row>
    <row r="61" spans="2:14">
      <c r="B61" s="248" t="s">
        <v>427</v>
      </c>
      <c r="C61" s="343" t="str">
        <f>'RFPR cover'!$C$14</f>
        <v>£m 12/13</v>
      </c>
      <c r="D61" s="243">
        <f>'R10 - Tax'!D81-'R10 - Tax'!D88</f>
        <v>-2.0009540418239764</v>
      </c>
      <c r="E61" s="243">
        <f>'R10 - Tax'!E81-'R10 - Tax'!E88</f>
        <v>-1.6938041497994198</v>
      </c>
      <c r="F61" s="243">
        <f>'R10 - Tax'!F81-'R10 - Tax'!F88</f>
        <v>0.76964128494704021</v>
      </c>
      <c r="G61" s="243">
        <f>'R10 - Tax'!G81-'R10 - Tax'!G88</f>
        <v>1.260203525322444</v>
      </c>
      <c r="H61" s="243">
        <f>'R10 - Tax'!H81-'R10 - Tax'!H88</f>
        <v>2.284277927133866</v>
      </c>
      <c r="I61" s="243">
        <f>'R10 - Tax'!I81-'R10 - Tax'!I88</f>
        <v>-0.87362464628682968</v>
      </c>
      <c r="J61" s="243">
        <f>'R10 - Tax'!J81-'R10 - Tax'!J88</f>
        <v>6.1360635947718389</v>
      </c>
      <c r="K61" s="183">
        <f>'R10 - Tax'!K81-'R10 - Tax'!K88</f>
        <v>13.567246377803194</v>
      </c>
      <c r="M61" s="99">
        <f>SUM(D61:INDEX(D61:K61,0,MATCH('RFPR cover'!$C$7,$D$6:$K$6,0)))</f>
        <v>5.8818034942649629</v>
      </c>
      <c r="N61" s="101">
        <f>SUM(D61:K61)</f>
        <v>19.449049872068159</v>
      </c>
    </row>
    <row r="62" spans="2:14">
      <c r="B62" s="248" t="s">
        <v>422</v>
      </c>
      <c r="C62" s="343" t="str">
        <f>'RFPR cover'!$C$14</f>
        <v>£m 12/13</v>
      </c>
      <c r="D62" s="243">
        <f>'R10 - Tax'!D83-'R10 - Tax'!D89</f>
        <v>8.3266726846886741E-16</v>
      </c>
      <c r="E62" s="243">
        <f>'R10 - Tax'!E83-'R10 - Tax'!E89</f>
        <v>-1.7763568394002505E-15</v>
      </c>
      <c r="F62" s="243">
        <f>'R10 - Tax'!F83-'R10 - Tax'!F89</f>
        <v>-1.7763568394002505E-15</v>
      </c>
      <c r="G62" s="243">
        <f>'R10 - Tax'!G83-'R10 - Tax'!G89</f>
        <v>-8.8817841970012523E-16</v>
      </c>
      <c r="H62" s="243">
        <f>'R10 - Tax'!H83-'R10 - Tax'!H89</f>
        <v>-1.7763568394002505E-15</v>
      </c>
      <c r="I62" s="243">
        <f>'R10 - Tax'!I83-'R10 - Tax'!I89</f>
        <v>0</v>
      </c>
      <c r="J62" s="243">
        <f>'R10 - Tax'!J83-'R10 - Tax'!J89</f>
        <v>0</v>
      </c>
      <c r="K62" s="183">
        <f>'R10 - Tax'!K83-'R10 - Tax'!K89</f>
        <v>1.3322676295501878E-15</v>
      </c>
      <c r="M62" s="93">
        <f>SUM(D62:INDEX(D62:K62,0,MATCH('RFPR cover'!$C$7,$D$6:$K$6,0)))</f>
        <v>-5.3845816694320092E-15</v>
      </c>
      <c r="N62" s="95">
        <f>SUM(D62:K62)</f>
        <v>-4.0523140398818214E-15</v>
      </c>
    </row>
    <row r="63" spans="2:14">
      <c r="B63" s="249" t="s">
        <v>101</v>
      </c>
      <c r="C63" s="343" t="str">
        <f>'RFPR cover'!$C$14</f>
        <v>£m 12/13</v>
      </c>
      <c r="D63" s="246">
        <f>SUM(D58:D62)</f>
        <v>34.02572197135207</v>
      </c>
      <c r="E63" s="147">
        <f t="shared" ref="E63:K63" si="17">SUM(E58:E62)</f>
        <v>45.477158763951572</v>
      </c>
      <c r="F63" s="147">
        <f t="shared" si="17"/>
        <v>61.114137210593633</v>
      </c>
      <c r="G63" s="147">
        <f t="shared" si="17"/>
        <v>54.702339943451044</v>
      </c>
      <c r="H63" s="147">
        <f t="shared" si="17"/>
        <v>46.682491065468469</v>
      </c>
      <c r="I63" s="147">
        <f t="shared" si="17"/>
        <v>36.594747657955793</v>
      </c>
      <c r="J63" s="147">
        <f t="shared" si="17"/>
        <v>79.881269641026861</v>
      </c>
      <c r="K63" s="148">
        <f t="shared" si="17"/>
        <v>98.835846667216742</v>
      </c>
      <c r="M63" s="146">
        <f>SUM(M58:M62)</f>
        <v>358.47786625379945</v>
      </c>
      <c r="N63" s="148">
        <f>SUM(N58:N62)</f>
        <v>457.31371292101613</v>
      </c>
    </row>
    <row r="64" spans="2:14">
      <c r="B64" s="248"/>
      <c r="D64" s="515"/>
      <c r="E64" s="515"/>
      <c r="F64" s="515"/>
      <c r="G64" s="515"/>
      <c r="H64" s="515"/>
      <c r="I64" s="515"/>
      <c r="J64" s="515"/>
      <c r="K64" s="515"/>
    </row>
    <row r="65" spans="2:11">
      <c r="B65" s="248" t="s">
        <v>225</v>
      </c>
      <c r="C65" s="343" t="str">
        <f>'RFPR cover'!$C$14</f>
        <v>£m 12/13</v>
      </c>
      <c r="D65" s="242">
        <f>'R9 - RAV'!D46</f>
        <v>524.25699525864673</v>
      </c>
      <c r="E65" s="180">
        <f>'R9 - RAV'!E46</f>
        <v>528.31659868913175</v>
      </c>
      <c r="F65" s="180">
        <f>'R9 - RAV'!F46</f>
        <v>534.23403000657845</v>
      </c>
      <c r="G65" s="180">
        <f>'R9 - RAV'!G46</f>
        <v>542.95242650670775</v>
      </c>
      <c r="H65" s="180">
        <f>'R9 - RAV'!H46</f>
        <v>552.34922056558582</v>
      </c>
      <c r="I65" s="180">
        <f>'R9 - RAV'!I46</f>
        <v>559.15616893475419</v>
      </c>
      <c r="J65" s="180">
        <f>'R9 - RAV'!J46</f>
        <v>562.77079293313363</v>
      </c>
      <c r="K65" s="181">
        <f>'R9 - RAV'!K46</f>
        <v>565.27179680097436</v>
      </c>
    </row>
    <row r="66" spans="2:11">
      <c r="B66" s="248" t="s">
        <v>104</v>
      </c>
      <c r="C66" s="343" t="str">
        <f>'RFPR cover'!$C$14</f>
        <v>£m 12/13</v>
      </c>
      <c r="D66" s="247">
        <f>'R8 - Net Debt'!D62</f>
        <v>561.39853597519186</v>
      </c>
      <c r="E66" s="184">
        <f>'R8 - Net Debt'!E62</f>
        <v>580.85851564495306</v>
      </c>
      <c r="F66" s="184">
        <f>'R8 - Net Debt'!F62</f>
        <v>583.38103640296242</v>
      </c>
      <c r="G66" s="184">
        <f>'R8 - Net Debt'!G62</f>
        <v>592.3110399223948</v>
      </c>
      <c r="H66" s="184">
        <f>'R8 - Net Debt'!H62</f>
        <v>596.49234683373254</v>
      </c>
      <c r="I66" s="184">
        <f>'R8 - Net Debt'!I62</f>
        <v>586.05805057600526</v>
      </c>
      <c r="J66" s="184">
        <f>'R8 - Net Debt'!J62</f>
        <v>631.15921397646503</v>
      </c>
      <c r="K66" s="185">
        <f>'R8 - Net Debt'!K62</f>
        <v>628.59308929815938</v>
      </c>
    </row>
  </sheetData>
  <conditionalFormatting sqref="D5:K6">
    <cfRule type="expression" dxfId="88"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4.625" style="214" bestFit="1" customWidth="1"/>
    <col min="3" max="3" width="13.375" style="137" customWidth="1"/>
    <col min="4" max="11" width="11.125" customWidth="1"/>
    <col min="12" max="12" width="5" style="42" customWidth="1"/>
  </cols>
  <sheetData>
    <row r="1" spans="1:12" s="31" customFormat="1" ht="20.25">
      <c r="A1" s="864" t="s">
        <v>116</v>
      </c>
      <c r="B1" s="865"/>
      <c r="C1" s="276"/>
      <c r="D1" s="275"/>
      <c r="E1" s="275"/>
      <c r="F1" s="275"/>
      <c r="G1" s="275"/>
      <c r="H1" s="275"/>
      <c r="I1" s="275"/>
      <c r="J1" s="275"/>
      <c r="K1" s="275"/>
      <c r="L1" s="277"/>
    </row>
    <row r="2" spans="1:12" s="31" customFormat="1" ht="20.25">
      <c r="A2" s="853" t="str">
        <f>'RFPR cover'!C5</f>
        <v>SPD</v>
      </c>
      <c r="B2" s="866"/>
      <c r="C2" s="135"/>
      <c r="D2" s="29"/>
      <c r="E2" s="29"/>
      <c r="F2" s="29"/>
      <c r="G2" s="29"/>
      <c r="H2" s="29"/>
      <c r="I2" s="27"/>
      <c r="J2" s="27"/>
      <c r="K2" s="27"/>
      <c r="L2" s="124"/>
    </row>
    <row r="3" spans="1:12" s="31" customFormat="1" ht="20.25">
      <c r="A3" s="856">
        <f>'RFPR cover'!C7</f>
        <v>2022</v>
      </c>
      <c r="B3" s="867"/>
      <c r="C3" s="278"/>
      <c r="D3" s="261"/>
      <c r="E3" s="261"/>
      <c r="F3" s="261"/>
      <c r="G3" s="261"/>
      <c r="H3" s="261"/>
      <c r="I3" s="256"/>
      <c r="J3" s="256"/>
      <c r="K3" s="256"/>
      <c r="L3" s="262"/>
    </row>
    <row r="4" spans="1:12" s="35" customFormat="1" ht="12.75" customHeight="1">
      <c r="B4" s="226"/>
      <c r="C4" s="139"/>
      <c r="L4" s="58"/>
    </row>
    <row r="5" spans="1:12" s="2" customFormat="1">
      <c r="B5" s="130"/>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21"/>
      <c r="C7" s="153"/>
      <c r="D7" s="50"/>
      <c r="E7" s="50"/>
      <c r="F7" s="50"/>
      <c r="G7" s="50"/>
      <c r="H7" s="50"/>
      <c r="I7" s="50"/>
      <c r="J7" s="50"/>
      <c r="K7" s="50"/>
      <c r="L7" s="58"/>
    </row>
    <row r="8" spans="1:12" s="2" customFormat="1">
      <c r="B8" s="722" t="s">
        <v>152</v>
      </c>
      <c r="C8" s="151"/>
      <c r="D8" s="81"/>
      <c r="E8" s="81"/>
      <c r="F8" s="81"/>
      <c r="G8" s="81"/>
      <c r="H8" s="81"/>
      <c r="I8" s="81"/>
      <c r="J8" s="81"/>
      <c r="K8" s="81"/>
      <c r="L8" s="273"/>
    </row>
    <row r="9" spans="1:12" s="35" customFormat="1">
      <c r="A9" s="2"/>
      <c r="B9" s="723"/>
      <c r="C9" s="139"/>
      <c r="L9" s="58"/>
    </row>
    <row r="10" spans="1:12" s="2" customFormat="1">
      <c r="B10" s="724" t="s">
        <v>378</v>
      </c>
      <c r="C10" s="152" t="str">
        <f>'RFPR cover'!$C$14</f>
        <v>£m 12/13</v>
      </c>
      <c r="D10" s="590">
        <v>338.3</v>
      </c>
      <c r="E10" s="591">
        <v>346</v>
      </c>
      <c r="F10" s="591">
        <v>346</v>
      </c>
      <c r="G10" s="591">
        <v>346</v>
      </c>
      <c r="H10" s="591">
        <v>346</v>
      </c>
      <c r="I10" s="591">
        <v>346</v>
      </c>
      <c r="J10" s="600">
        <v>346</v>
      </c>
      <c r="K10" s="889">
        <v>0</v>
      </c>
      <c r="L10" s="58"/>
    </row>
    <row r="11" spans="1:12" s="2" customFormat="1">
      <c r="B11" s="724" t="s">
        <v>379</v>
      </c>
      <c r="C11" s="152" t="str">
        <f>'RFPR cover'!$C$14</f>
        <v>£m 12/13</v>
      </c>
      <c r="D11" s="592">
        <v>0</v>
      </c>
      <c r="E11" s="593">
        <v>0.3</v>
      </c>
      <c r="F11" s="593">
        <v>-4.0999999999999996</v>
      </c>
      <c r="G11" s="593">
        <v>-4</v>
      </c>
      <c r="H11" s="593">
        <v>-7.4</v>
      </c>
      <c r="I11" s="593">
        <v>-2.5</v>
      </c>
      <c r="J11" s="601">
        <v>-7</v>
      </c>
      <c r="K11" s="889">
        <v>0</v>
      </c>
      <c r="L11" s="58"/>
    </row>
    <row r="12" spans="1:12" s="2" customFormat="1">
      <c r="B12" s="724" t="s">
        <v>144</v>
      </c>
      <c r="C12" s="152" t="str">
        <f>'RFPR cover'!$C$14</f>
        <v>£m 12/13</v>
      </c>
      <c r="D12" s="592">
        <v>0</v>
      </c>
      <c r="E12" s="593">
        <v>0</v>
      </c>
      <c r="F12" s="593">
        <v>-7.4417655760262678</v>
      </c>
      <c r="G12" s="593">
        <v>-1.3626111344825687</v>
      </c>
      <c r="H12" s="593">
        <v>0.83818402746371279</v>
      </c>
      <c r="I12" s="593">
        <v>-0.36087807416701928</v>
      </c>
      <c r="J12" s="601">
        <v>-3.1045331687324813</v>
      </c>
      <c r="K12" s="889">
        <v>0</v>
      </c>
      <c r="L12" s="58"/>
    </row>
    <row r="13" spans="1:12" s="2" customFormat="1">
      <c r="B13" s="724" t="s">
        <v>367</v>
      </c>
      <c r="C13" s="153" t="s">
        <v>124</v>
      </c>
      <c r="D13" s="922">
        <v>1.0820000000000001</v>
      </c>
      <c r="E13" s="923">
        <v>1.087</v>
      </c>
      <c r="F13" s="923">
        <v>1.121</v>
      </c>
      <c r="G13" s="923">
        <v>1.159</v>
      </c>
      <c r="H13" s="923">
        <v>1.198</v>
      </c>
      <c r="I13" s="923">
        <v>1.2170000000000001</v>
      </c>
      <c r="J13" s="610">
        <v>1.238</v>
      </c>
      <c r="K13" s="889">
        <v>0</v>
      </c>
      <c r="L13" s="58"/>
    </row>
    <row r="14" spans="1:12" s="2" customFormat="1">
      <c r="B14" s="725" t="s">
        <v>189</v>
      </c>
      <c r="C14" s="267" t="s">
        <v>125</v>
      </c>
      <c r="D14" s="608">
        <f>SUM(D10:D12)*D13</f>
        <v>366.04060000000004</v>
      </c>
      <c r="E14" s="609">
        <f t="shared" ref="E14:K14" si="1">SUM(E10:E12)*E13</f>
        <v>376.42810000000003</v>
      </c>
      <c r="F14" s="609">
        <f t="shared" si="1"/>
        <v>374.92768078927452</v>
      </c>
      <c r="G14" s="609">
        <f t="shared" si="1"/>
        <v>394.79873369513473</v>
      </c>
      <c r="H14" s="609">
        <f t="shared" si="1"/>
        <v>406.64694446490159</v>
      </c>
      <c r="I14" s="609">
        <f t="shared" si="1"/>
        <v>417.60031138373876</v>
      </c>
      <c r="J14" s="609">
        <f t="shared" si="1"/>
        <v>415.8385879371092</v>
      </c>
      <c r="K14" s="890">
        <f t="shared" si="1"/>
        <v>0</v>
      </c>
      <c r="L14" s="58"/>
    </row>
    <row r="15" spans="1:12" s="2" customFormat="1">
      <c r="B15" s="214" t="s">
        <v>128</v>
      </c>
      <c r="C15" s="153" t="s">
        <v>125</v>
      </c>
      <c r="D15" s="594">
        <f>'R5 - Output Incentives'!D102</f>
        <v>7.1489569499999979</v>
      </c>
      <c r="E15" s="595">
        <f>'R5 - Output Incentives'!E102</f>
        <v>11.195117099999999</v>
      </c>
      <c r="F15" s="596">
        <f>'R5 - Output Incentives'!F102</f>
        <v>11.983420297039988</v>
      </c>
      <c r="G15" s="596">
        <f>'R5 - Output Incentives'!G102</f>
        <v>15.91923194848842</v>
      </c>
      <c r="H15" s="596">
        <f>'R5 - Output Incentives'!H102</f>
        <v>15.188988091384774</v>
      </c>
      <c r="I15" s="596">
        <f>'R5 - Output Incentives'!I102</f>
        <v>10.852758437320844</v>
      </c>
      <c r="J15" s="596">
        <f>'R5 - Output Incentives'!J102</f>
        <v>12.600455186360836</v>
      </c>
      <c r="K15" s="891">
        <f>'R5 - Output Incentives'!K102</f>
        <v>16.146004133092834</v>
      </c>
      <c r="L15" s="58"/>
    </row>
    <row r="16" spans="1:12" s="2" customFormat="1">
      <c r="B16" s="726" t="s">
        <v>380</v>
      </c>
      <c r="C16" s="153" t="s">
        <v>125</v>
      </c>
      <c r="D16" s="590">
        <v>0</v>
      </c>
      <c r="E16" s="591">
        <v>0</v>
      </c>
      <c r="F16" s="591">
        <v>1.0375648208223351</v>
      </c>
      <c r="G16" s="591">
        <v>2.5806958054539297</v>
      </c>
      <c r="H16" s="591">
        <v>-9.3595589092926907</v>
      </c>
      <c r="I16" s="591">
        <v>-8.4010521455461156</v>
      </c>
      <c r="J16" s="600">
        <v>1.5304548833986702</v>
      </c>
      <c r="K16" s="889">
        <v>0</v>
      </c>
      <c r="L16" s="58"/>
    </row>
    <row r="17" spans="2:12" s="2" customFormat="1">
      <c r="B17" s="726" t="s">
        <v>131</v>
      </c>
      <c r="C17" s="153" t="s">
        <v>125</v>
      </c>
      <c r="D17" s="594">
        <f>'R6 - Innovation'!D12</f>
        <v>1.6158688933408223</v>
      </c>
      <c r="E17" s="595">
        <f>'R6 - Innovation'!E12</f>
        <v>1.5988850487928483</v>
      </c>
      <c r="F17" s="596">
        <f>'R6 - Innovation'!F12</f>
        <v>1.4578123856916161</v>
      </c>
      <c r="G17" s="596">
        <f>'R6 - Innovation'!G12</f>
        <v>1.5862994680070253</v>
      </c>
      <c r="H17" s="596">
        <f>'R6 - Innovation'!H12</f>
        <v>1.7864643528152184</v>
      </c>
      <c r="I17" s="596">
        <f>'R6 - Innovation'!I12</f>
        <v>1.9827862925361042</v>
      </c>
      <c r="J17" s="596">
        <f>'R6 - Innovation'!J12</f>
        <v>2.0791929396855462</v>
      </c>
      <c r="K17" s="891">
        <f>'R6 - Innovation'!K12</f>
        <v>1.8198788835825319</v>
      </c>
      <c r="L17" s="58"/>
    </row>
    <row r="18" spans="2:12" s="2" customFormat="1">
      <c r="B18" s="726" t="s">
        <v>130</v>
      </c>
      <c r="C18" s="153" t="s">
        <v>125</v>
      </c>
      <c r="D18" s="594">
        <f>'R6 - Innovation'!D17</f>
        <v>1.3859999999999999</v>
      </c>
      <c r="E18" s="595">
        <f>'R6 - Innovation'!E17</f>
        <v>7.2999999999999995E-2</v>
      </c>
      <c r="F18" s="596">
        <f>'R6 - Innovation'!F17</f>
        <v>0.21199999999999999</v>
      </c>
      <c r="G18" s="596">
        <f>'R6 - Innovation'!G17</f>
        <v>0.57399999999999995</v>
      </c>
      <c r="H18" s="596">
        <f>'R6 - Innovation'!H17</f>
        <v>7.850915E-2</v>
      </c>
      <c r="I18" s="596">
        <f>'R6 - Innovation'!I17</f>
        <v>-0.21099999999999999</v>
      </c>
      <c r="J18" s="596">
        <f>'R6 - Innovation'!J17</f>
        <v>4.7E-2</v>
      </c>
      <c r="K18" s="891">
        <f>'R6 - Innovation'!K17</f>
        <v>-0.21815097999999999</v>
      </c>
      <c r="L18" s="58"/>
    </row>
    <row r="19" spans="2:12" s="2" customFormat="1">
      <c r="B19" s="727" t="s">
        <v>593</v>
      </c>
      <c r="C19" s="153" t="s">
        <v>125</v>
      </c>
      <c r="D19" s="590">
        <v>0</v>
      </c>
      <c r="E19" s="591">
        <v>0</v>
      </c>
      <c r="F19" s="591">
        <v>0</v>
      </c>
      <c r="G19" s="591">
        <v>0</v>
      </c>
      <c r="H19" s="591">
        <v>0</v>
      </c>
      <c r="I19" s="591">
        <v>0</v>
      </c>
      <c r="J19" s="600">
        <v>0</v>
      </c>
      <c r="K19" s="889">
        <v>0</v>
      </c>
      <c r="L19" s="58"/>
    </row>
    <row r="20" spans="2:12" s="2" customFormat="1">
      <c r="B20" s="727" t="s">
        <v>594</v>
      </c>
      <c r="C20" s="153" t="s">
        <v>125</v>
      </c>
      <c r="D20" s="592">
        <v>0</v>
      </c>
      <c r="E20" s="593">
        <v>0</v>
      </c>
      <c r="F20" s="593">
        <v>0</v>
      </c>
      <c r="G20" s="593">
        <v>0</v>
      </c>
      <c r="H20" s="593">
        <v>0</v>
      </c>
      <c r="I20" s="593">
        <v>0</v>
      </c>
      <c r="J20" s="601">
        <v>0</v>
      </c>
      <c r="K20" s="889">
        <v>0</v>
      </c>
      <c r="L20" s="58"/>
    </row>
    <row r="21" spans="2:12" s="2" customFormat="1">
      <c r="B21" s="727" t="s">
        <v>595</v>
      </c>
      <c r="C21" s="153" t="s">
        <v>125</v>
      </c>
      <c r="D21" s="592">
        <v>0</v>
      </c>
      <c r="E21" s="593">
        <v>0</v>
      </c>
      <c r="F21" s="593">
        <v>0</v>
      </c>
      <c r="G21" s="593">
        <v>0</v>
      </c>
      <c r="H21" s="593">
        <v>0</v>
      </c>
      <c r="I21" s="593">
        <v>0</v>
      </c>
      <c r="J21" s="601">
        <v>0</v>
      </c>
      <c r="K21" s="889">
        <v>0</v>
      </c>
      <c r="L21" s="58"/>
    </row>
    <row r="22" spans="2:12" s="2" customFormat="1">
      <c r="B22" s="727" t="s">
        <v>596</v>
      </c>
      <c r="C22" s="153" t="s">
        <v>125</v>
      </c>
      <c r="D22" s="592">
        <v>11.307214036158426</v>
      </c>
      <c r="E22" s="593">
        <v>3.9368775196877213</v>
      </c>
      <c r="F22" s="593">
        <v>0</v>
      </c>
      <c r="G22" s="593">
        <v>0</v>
      </c>
      <c r="H22" s="593">
        <v>0</v>
      </c>
      <c r="I22" s="593">
        <v>0</v>
      </c>
      <c r="J22" s="601">
        <v>0</v>
      </c>
      <c r="K22" s="889">
        <v>0</v>
      </c>
      <c r="L22" s="58"/>
    </row>
    <row r="23" spans="2:12" s="2" customFormat="1">
      <c r="B23" s="727" t="s">
        <v>236</v>
      </c>
      <c r="C23" s="153" t="s">
        <v>125</v>
      </c>
      <c r="D23" s="592">
        <v>0</v>
      </c>
      <c r="E23" s="593">
        <v>0</v>
      </c>
      <c r="F23" s="593">
        <v>0</v>
      </c>
      <c r="G23" s="593">
        <v>0</v>
      </c>
      <c r="H23" s="593">
        <v>0</v>
      </c>
      <c r="I23" s="593">
        <v>0</v>
      </c>
      <c r="J23" s="601">
        <v>0</v>
      </c>
      <c r="K23" s="889">
        <v>0</v>
      </c>
      <c r="L23" s="58"/>
    </row>
    <row r="24" spans="2:12" s="2" customFormat="1">
      <c r="B24" s="727" t="s">
        <v>236</v>
      </c>
      <c r="C24" s="153" t="s">
        <v>125</v>
      </c>
      <c r="D24" s="592">
        <v>0</v>
      </c>
      <c r="E24" s="593">
        <v>0</v>
      </c>
      <c r="F24" s="593">
        <v>0</v>
      </c>
      <c r="G24" s="593">
        <v>0</v>
      </c>
      <c r="H24" s="593">
        <v>0</v>
      </c>
      <c r="I24" s="593">
        <v>0</v>
      </c>
      <c r="J24" s="601">
        <v>0</v>
      </c>
      <c r="K24" s="889">
        <v>0</v>
      </c>
      <c r="L24" s="58"/>
    </row>
    <row r="25" spans="2:12" s="2" customFormat="1">
      <c r="B25" s="726" t="s">
        <v>132</v>
      </c>
      <c r="C25" s="153" t="s">
        <v>125</v>
      </c>
      <c r="D25" s="922">
        <v>3.7028664247015106</v>
      </c>
      <c r="E25" s="923">
        <v>0</v>
      </c>
      <c r="F25" s="923">
        <v>7.8747965616128361</v>
      </c>
      <c r="G25" s="923">
        <v>-6.6620664386984378</v>
      </c>
      <c r="H25" s="923">
        <v>-4.5686808936950927</v>
      </c>
      <c r="I25" s="923">
        <v>-16.711529421130265</v>
      </c>
      <c r="J25" s="610">
        <v>2.6113382584132192</v>
      </c>
      <c r="K25" s="889">
        <v>0</v>
      </c>
      <c r="L25" s="58"/>
    </row>
    <row r="26" spans="2:12" s="2" customFormat="1">
      <c r="B26" s="721" t="s">
        <v>145</v>
      </c>
      <c r="C26" s="153" t="s">
        <v>125</v>
      </c>
      <c r="D26" s="597">
        <f>SUM(D14:D24,-D25)</f>
        <v>383.79577345479782</v>
      </c>
      <c r="E26" s="598">
        <f t="shared" ref="E26:K26" si="2">SUM(E14:E24,-E25)</f>
        <v>393.23197966848056</v>
      </c>
      <c r="F26" s="598">
        <f t="shared" si="2"/>
        <v>381.74368173121564</v>
      </c>
      <c r="G26" s="598">
        <f t="shared" si="2"/>
        <v>422.12102735578259</v>
      </c>
      <c r="H26" s="598">
        <f t="shared" si="2"/>
        <v>418.91002804350404</v>
      </c>
      <c r="I26" s="598">
        <f t="shared" si="2"/>
        <v>438.53533338917987</v>
      </c>
      <c r="J26" s="598">
        <f t="shared" si="2"/>
        <v>429.48435268814097</v>
      </c>
      <c r="K26" s="892">
        <f t="shared" si="2"/>
        <v>17.747732036675366</v>
      </c>
      <c r="L26" s="58"/>
    </row>
    <row r="27" spans="2:12" s="2" customFormat="1">
      <c r="B27" s="226"/>
      <c r="C27" s="139"/>
      <c r="D27" s="55"/>
      <c r="E27" s="55"/>
      <c r="F27" s="55"/>
      <c r="G27" s="61"/>
      <c r="H27" s="61"/>
      <c r="I27" s="61"/>
      <c r="J27" s="61"/>
      <c r="K27" s="61"/>
      <c r="L27" s="58"/>
    </row>
    <row r="28" spans="2:12" s="2" customFormat="1">
      <c r="B28" s="226" t="s">
        <v>147</v>
      </c>
      <c r="C28" s="139"/>
      <c r="D28" s="597">
        <f>IF(ISBLANK(D33),0,D33-D26)</f>
        <v>7.5812265452021848</v>
      </c>
      <c r="E28" s="598">
        <f t="shared" ref="E28:K28" si="3">IF(ISBLANK(E33),0,E33-E26)</f>
        <v>-6.4229796684805365</v>
      </c>
      <c r="F28" s="598">
        <f t="shared" si="3"/>
        <v>-4.3904877278823733</v>
      </c>
      <c r="G28" s="598">
        <f t="shared" si="3"/>
        <v>-16.002655046226891</v>
      </c>
      <c r="H28" s="598">
        <f t="shared" si="3"/>
        <v>2.5144940454380844</v>
      </c>
      <c r="I28" s="598">
        <f t="shared" si="3"/>
        <v>-22.959089937846556</v>
      </c>
      <c r="J28" s="598">
        <f t="shared" si="3"/>
        <v>-0.66157782547435318</v>
      </c>
      <c r="K28" s="599">
        <f t="shared" si="3"/>
        <v>-17.747732036675366</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22" t="s">
        <v>186</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23" t="s">
        <v>146</v>
      </c>
      <c r="C33" s="139"/>
      <c r="D33" s="614">
        <v>391.37700000000001</v>
      </c>
      <c r="E33" s="615">
        <v>386.80900000000003</v>
      </c>
      <c r="F33" s="615">
        <v>377.35319400333327</v>
      </c>
      <c r="G33" s="615">
        <v>406.1183723095557</v>
      </c>
      <c r="H33" s="615">
        <v>421.42452208894213</v>
      </c>
      <c r="I33" s="615">
        <v>415.57624345133331</v>
      </c>
      <c r="J33" s="616">
        <v>428.82277486266662</v>
      </c>
      <c r="K33" s="889">
        <v>0</v>
      </c>
      <c r="L33" s="58"/>
    </row>
    <row r="34" spans="2:12" s="2" customFormat="1">
      <c r="B34" s="130"/>
      <c r="C34" s="137"/>
      <c r="L34" s="58"/>
    </row>
    <row r="35" spans="2:12" s="2" customFormat="1">
      <c r="B35" s="394" t="s">
        <v>133</v>
      </c>
      <c r="C35" s="137"/>
      <c r="L35" s="58"/>
    </row>
    <row r="36" spans="2:12" s="2" customFormat="1">
      <c r="B36" s="841" t="s">
        <v>134</v>
      </c>
      <c r="C36" s="153" t="s">
        <v>125</v>
      </c>
      <c r="D36" s="590">
        <v>0</v>
      </c>
      <c r="E36" s="591">
        <v>0</v>
      </c>
      <c r="F36" s="591">
        <v>0</v>
      </c>
      <c r="G36" s="591">
        <v>0</v>
      </c>
      <c r="H36" s="591">
        <v>0</v>
      </c>
      <c r="I36" s="591">
        <v>0</v>
      </c>
      <c r="J36" s="600">
        <v>0</v>
      </c>
      <c r="K36" s="889">
        <v>0</v>
      </c>
      <c r="L36" s="58"/>
    </row>
    <row r="37" spans="2:12" s="2" customFormat="1">
      <c r="B37" s="841" t="s">
        <v>135</v>
      </c>
      <c r="C37" s="153" t="s">
        <v>125</v>
      </c>
      <c r="D37" s="592">
        <v>2.121</v>
      </c>
      <c r="E37" s="593">
        <v>2.298</v>
      </c>
      <c r="F37" s="593">
        <v>2.0459999999999998</v>
      </c>
      <c r="G37" s="593">
        <v>1.885</v>
      </c>
      <c r="H37" s="593">
        <v>1.7549999999999999</v>
      </c>
      <c r="I37" s="593">
        <v>1.671</v>
      </c>
      <c r="J37" s="601">
        <v>1.581</v>
      </c>
      <c r="K37" s="889">
        <v>0</v>
      </c>
      <c r="L37" s="58"/>
    </row>
    <row r="38" spans="2:12" s="2" customFormat="1">
      <c r="B38" s="841" t="s">
        <v>136</v>
      </c>
      <c r="C38" s="153" t="s">
        <v>125</v>
      </c>
      <c r="D38" s="592">
        <v>81.477434499356008</v>
      </c>
      <c r="E38" s="593">
        <v>83.848190351963012</v>
      </c>
      <c r="F38" s="593">
        <v>53.0162497266667</v>
      </c>
      <c r="G38" s="593">
        <v>30.034413654444606</v>
      </c>
      <c r="H38" s="593">
        <v>36.041768934444512</v>
      </c>
      <c r="I38" s="593">
        <v>43.438343618666671</v>
      </c>
      <c r="J38" s="601">
        <v>47.057249907333336</v>
      </c>
      <c r="K38" s="889">
        <v>0</v>
      </c>
      <c r="L38" s="58"/>
    </row>
    <row r="39" spans="2:12" s="2" customFormat="1">
      <c r="B39" s="841" t="s">
        <v>137</v>
      </c>
      <c r="C39" s="153" t="s">
        <v>125</v>
      </c>
      <c r="D39" s="592">
        <v>0</v>
      </c>
      <c r="E39" s="593">
        <v>0</v>
      </c>
      <c r="F39" s="593">
        <v>0</v>
      </c>
      <c r="G39" s="593">
        <v>0</v>
      </c>
      <c r="H39" s="593">
        <v>0</v>
      </c>
      <c r="I39" s="593">
        <v>0</v>
      </c>
      <c r="J39" s="601">
        <v>0</v>
      </c>
      <c r="K39" s="889">
        <v>0</v>
      </c>
      <c r="L39" s="58"/>
    </row>
    <row r="40" spans="2:12" s="2" customFormat="1">
      <c r="B40" s="841" t="s">
        <v>138</v>
      </c>
      <c r="C40" s="153" t="s">
        <v>125</v>
      </c>
      <c r="D40" s="592">
        <v>0</v>
      </c>
      <c r="E40" s="593">
        <v>0</v>
      </c>
      <c r="F40" s="593">
        <v>0</v>
      </c>
      <c r="G40" s="593">
        <v>0</v>
      </c>
      <c r="H40" s="593">
        <v>0</v>
      </c>
      <c r="I40" s="593">
        <v>0</v>
      </c>
      <c r="J40" s="601">
        <v>0</v>
      </c>
      <c r="K40" s="889">
        <v>0</v>
      </c>
      <c r="L40" s="58"/>
    </row>
    <row r="41" spans="2:12" s="2" customFormat="1">
      <c r="B41" s="841" t="s">
        <v>139</v>
      </c>
      <c r="C41" s="153" t="s">
        <v>125</v>
      </c>
      <c r="D41" s="592">
        <v>0.15154741000000077</v>
      </c>
      <c r="E41" s="593">
        <v>0.10917241999999999</v>
      </c>
      <c r="F41" s="593">
        <v>4.2497899999999998E-2</v>
      </c>
      <c r="G41" s="593">
        <v>0</v>
      </c>
      <c r="H41" s="593">
        <v>3.1505999999999999E-2</v>
      </c>
      <c r="I41" s="593">
        <v>2.8265999999999999E-2</v>
      </c>
      <c r="J41" s="601">
        <v>0.30316129999999997</v>
      </c>
      <c r="K41" s="889">
        <v>0</v>
      </c>
      <c r="L41" s="58"/>
    </row>
    <row r="42" spans="2:12" s="2" customFormat="1">
      <c r="B42" s="841" t="s">
        <v>140</v>
      </c>
      <c r="C42" s="153" t="s">
        <v>125</v>
      </c>
      <c r="D42" s="592">
        <v>0</v>
      </c>
      <c r="E42" s="593">
        <v>0</v>
      </c>
      <c r="F42" s="593">
        <v>0</v>
      </c>
      <c r="G42" s="593">
        <v>0</v>
      </c>
      <c r="H42" s="593">
        <v>0</v>
      </c>
      <c r="I42" s="593">
        <v>0</v>
      </c>
      <c r="J42" s="601">
        <v>0</v>
      </c>
      <c r="K42" s="889">
        <v>0</v>
      </c>
      <c r="L42" s="58"/>
    </row>
    <row r="43" spans="2:12" s="2" customFormat="1">
      <c r="B43" s="842" t="s">
        <v>141</v>
      </c>
      <c r="C43" s="153" t="s">
        <v>125</v>
      </c>
      <c r="D43" s="592">
        <v>0</v>
      </c>
      <c r="E43" s="593">
        <v>0</v>
      </c>
      <c r="F43" s="593">
        <v>0</v>
      </c>
      <c r="G43" s="593">
        <v>0</v>
      </c>
      <c r="H43" s="593">
        <v>0</v>
      </c>
      <c r="I43" s="593">
        <v>0</v>
      </c>
      <c r="J43" s="601">
        <v>0</v>
      </c>
      <c r="K43" s="889">
        <v>0</v>
      </c>
      <c r="L43" s="58"/>
    </row>
    <row r="44" spans="2:12" s="2" customFormat="1">
      <c r="B44" s="840" t="s">
        <v>512</v>
      </c>
      <c r="C44" s="153" t="s">
        <v>125</v>
      </c>
      <c r="D44" s="922">
        <v>0</v>
      </c>
      <c r="E44" s="923">
        <v>0</v>
      </c>
      <c r="F44" s="923">
        <v>0</v>
      </c>
      <c r="G44" s="923">
        <v>0</v>
      </c>
      <c r="H44" s="923">
        <v>0</v>
      </c>
      <c r="I44" s="923">
        <v>0</v>
      </c>
      <c r="J44" s="610">
        <v>0</v>
      </c>
      <c r="K44" s="889">
        <v>0</v>
      </c>
      <c r="L44" s="58"/>
    </row>
    <row r="45" spans="2:12" s="2" customFormat="1">
      <c r="B45" s="394" t="s">
        <v>169</v>
      </c>
      <c r="C45" s="153" t="s">
        <v>125</v>
      </c>
      <c r="D45" s="602">
        <f>SUM(D36:D44)</f>
        <v>83.749981909356009</v>
      </c>
      <c r="E45" s="603">
        <f t="shared" ref="E45:K45" si="4">SUM(E36:E44)</f>
        <v>86.255362771963007</v>
      </c>
      <c r="F45" s="603">
        <f t="shared" si="4"/>
        <v>55.1047476266667</v>
      </c>
      <c r="G45" s="603">
        <f t="shared" si="4"/>
        <v>31.919413654444607</v>
      </c>
      <c r="H45" s="603">
        <f t="shared" si="4"/>
        <v>37.828274934444515</v>
      </c>
      <c r="I45" s="603">
        <f t="shared" si="4"/>
        <v>45.137609618666673</v>
      </c>
      <c r="J45" s="603">
        <f t="shared" si="4"/>
        <v>48.941411207333338</v>
      </c>
      <c r="K45" s="604">
        <f t="shared" si="4"/>
        <v>0</v>
      </c>
      <c r="L45" s="58"/>
    </row>
    <row r="46" spans="2:12" s="2" customFormat="1">
      <c r="B46" s="130"/>
      <c r="C46" s="137"/>
      <c r="L46" s="58"/>
    </row>
    <row r="47" spans="2:12" s="2" customFormat="1">
      <c r="B47" s="394" t="s">
        <v>142</v>
      </c>
      <c r="C47" s="137"/>
      <c r="L47" s="54"/>
    </row>
    <row r="48" spans="2:12" s="2" customFormat="1">
      <c r="B48" s="727" t="s">
        <v>597</v>
      </c>
      <c r="C48" s="153" t="s">
        <v>125</v>
      </c>
      <c r="D48" s="590">
        <v>-13.661</v>
      </c>
      <c r="E48" s="591">
        <v>-11.881</v>
      </c>
      <c r="F48" s="591">
        <v>-9.8889999999999993</v>
      </c>
      <c r="G48" s="591">
        <v>-5.8407284200001417</v>
      </c>
      <c r="H48" s="591">
        <v>-6.4895812900000704</v>
      </c>
      <c r="I48" s="591">
        <v>-10.119329790000011</v>
      </c>
      <c r="J48" s="600">
        <v>-10.167086020000006</v>
      </c>
      <c r="K48" s="889">
        <v>0</v>
      </c>
      <c r="L48" s="58"/>
    </row>
    <row r="49" spans="2:12" s="2" customFormat="1">
      <c r="B49" s="727" t="s">
        <v>598</v>
      </c>
      <c r="C49" s="153" t="s">
        <v>125</v>
      </c>
      <c r="D49" s="592">
        <v>-0.152</v>
      </c>
      <c r="E49" s="593">
        <v>-0.109</v>
      </c>
      <c r="F49" s="593">
        <v>-4.2000000000000003E-2</v>
      </c>
      <c r="G49" s="593">
        <v>0</v>
      </c>
      <c r="H49" s="593">
        <v>-3.1505999999999999E-2</v>
      </c>
      <c r="I49" s="593">
        <v>-2.8265999999999999E-2</v>
      </c>
      <c r="J49" s="601">
        <v>-0.30316129999999997</v>
      </c>
      <c r="K49" s="889">
        <v>0</v>
      </c>
      <c r="L49" s="58"/>
    </row>
    <row r="50" spans="2:12" s="2" customFormat="1">
      <c r="B50" s="727" t="s">
        <v>599</v>
      </c>
      <c r="C50" s="153" t="s">
        <v>125</v>
      </c>
      <c r="D50" s="592">
        <v>-55.314999999999998</v>
      </c>
      <c r="E50" s="593">
        <v>-60.927</v>
      </c>
      <c r="F50" s="593">
        <v>-33.768999999999998</v>
      </c>
      <c r="G50" s="593">
        <v>-16.256139040000019</v>
      </c>
      <c r="H50" s="593">
        <v>-22.498926800000003</v>
      </c>
      <c r="I50" s="593">
        <v>-26.458942249999993</v>
      </c>
      <c r="J50" s="601">
        <v>-30.361740129999998</v>
      </c>
      <c r="K50" s="889">
        <v>0</v>
      </c>
      <c r="L50" s="58"/>
    </row>
    <row r="51" spans="2:12" s="2" customFormat="1">
      <c r="B51" s="727" t="s">
        <v>600</v>
      </c>
      <c r="C51" s="153" t="s">
        <v>125</v>
      </c>
      <c r="D51" s="592">
        <v>0</v>
      </c>
      <c r="E51" s="593">
        <v>0</v>
      </c>
      <c r="F51" s="593">
        <v>0</v>
      </c>
      <c r="G51" s="593">
        <v>21.663190570000001</v>
      </c>
      <c r="H51" s="593">
        <v>22.196542740000002</v>
      </c>
      <c r="I51" s="593">
        <v>22.759502310000002</v>
      </c>
      <c r="J51" s="601">
        <v>23.341566740000001</v>
      </c>
      <c r="K51" s="889">
        <v>0</v>
      </c>
      <c r="L51" s="58"/>
    </row>
    <row r="52" spans="2:12" s="2" customFormat="1">
      <c r="B52" s="727" t="s">
        <v>601</v>
      </c>
      <c r="C52" s="153" t="s">
        <v>125</v>
      </c>
      <c r="D52" s="592">
        <v>0</v>
      </c>
      <c r="E52" s="593">
        <v>0</v>
      </c>
      <c r="F52" s="593">
        <v>0</v>
      </c>
      <c r="G52" s="593">
        <v>0.54082004599985023</v>
      </c>
      <c r="H52" s="593">
        <v>0.54289801661339077</v>
      </c>
      <c r="I52" s="593">
        <v>0</v>
      </c>
      <c r="J52" s="601">
        <v>0</v>
      </c>
      <c r="K52" s="889">
        <v>0</v>
      </c>
      <c r="L52" s="58"/>
    </row>
    <row r="53" spans="2:12" s="2" customFormat="1">
      <c r="B53" s="538" t="s">
        <v>236</v>
      </c>
      <c r="C53" s="153" t="s">
        <v>125</v>
      </c>
      <c r="D53" s="592">
        <v>0</v>
      </c>
      <c r="E53" s="593">
        <v>0</v>
      </c>
      <c r="F53" s="593">
        <v>0</v>
      </c>
      <c r="G53" s="593">
        <v>0</v>
      </c>
      <c r="H53" s="593">
        <v>0</v>
      </c>
      <c r="I53" s="593">
        <v>0</v>
      </c>
      <c r="J53" s="601">
        <v>0</v>
      </c>
      <c r="K53" s="889">
        <v>0</v>
      </c>
      <c r="L53" s="58"/>
    </row>
    <row r="54" spans="2:12" s="2" customFormat="1">
      <c r="B54" s="538" t="s">
        <v>236</v>
      </c>
      <c r="C54" s="153" t="s">
        <v>125</v>
      </c>
      <c r="D54" s="592">
        <v>0</v>
      </c>
      <c r="E54" s="593">
        <v>0</v>
      </c>
      <c r="F54" s="593">
        <v>0</v>
      </c>
      <c r="G54" s="593">
        <v>0</v>
      </c>
      <c r="H54" s="593">
        <v>0</v>
      </c>
      <c r="I54" s="593">
        <v>0</v>
      </c>
      <c r="J54" s="601">
        <v>0</v>
      </c>
      <c r="K54" s="889">
        <v>0</v>
      </c>
      <c r="L54" s="58"/>
    </row>
    <row r="55" spans="2:12" s="2" customFormat="1">
      <c r="B55" s="538" t="s">
        <v>236</v>
      </c>
      <c r="C55" s="153" t="s">
        <v>125</v>
      </c>
      <c r="D55" s="592">
        <v>0</v>
      </c>
      <c r="E55" s="593">
        <v>0</v>
      </c>
      <c r="F55" s="593">
        <v>0</v>
      </c>
      <c r="G55" s="593">
        <v>0</v>
      </c>
      <c r="H55" s="593">
        <v>0</v>
      </c>
      <c r="I55" s="593">
        <v>0</v>
      </c>
      <c r="J55" s="601">
        <v>0</v>
      </c>
      <c r="K55" s="889">
        <v>0</v>
      </c>
      <c r="L55" s="58"/>
    </row>
    <row r="56" spans="2:12" s="2" customFormat="1">
      <c r="B56" s="538" t="s">
        <v>236</v>
      </c>
      <c r="C56" s="153" t="s">
        <v>125</v>
      </c>
      <c r="D56" s="592">
        <v>0</v>
      </c>
      <c r="E56" s="593">
        <v>0</v>
      </c>
      <c r="F56" s="593">
        <v>0</v>
      </c>
      <c r="G56" s="593">
        <v>0</v>
      </c>
      <c r="H56" s="593">
        <v>0</v>
      </c>
      <c r="I56" s="593">
        <v>0</v>
      </c>
      <c r="J56" s="601">
        <v>0</v>
      </c>
      <c r="K56" s="889">
        <v>0</v>
      </c>
      <c r="L56" s="58"/>
    </row>
    <row r="57" spans="2:12" s="2" customFormat="1">
      <c r="B57" s="538" t="s">
        <v>236</v>
      </c>
      <c r="C57" s="153" t="s">
        <v>125</v>
      </c>
      <c r="D57" s="592">
        <v>0</v>
      </c>
      <c r="E57" s="593">
        <v>0</v>
      </c>
      <c r="F57" s="593">
        <v>0</v>
      </c>
      <c r="G57" s="593">
        <v>0</v>
      </c>
      <c r="H57" s="593">
        <v>0</v>
      </c>
      <c r="I57" s="593">
        <v>0</v>
      </c>
      <c r="J57" s="601">
        <v>0</v>
      </c>
      <c r="K57" s="889">
        <v>0</v>
      </c>
      <c r="L57" s="58"/>
    </row>
    <row r="58" spans="2:12" s="2" customFormat="1">
      <c r="B58" s="538" t="s">
        <v>236</v>
      </c>
      <c r="C58" s="153" t="s">
        <v>125</v>
      </c>
      <c r="D58" s="592">
        <v>0</v>
      </c>
      <c r="E58" s="593">
        <v>0</v>
      </c>
      <c r="F58" s="593">
        <v>0</v>
      </c>
      <c r="G58" s="593">
        <v>0</v>
      </c>
      <c r="H58" s="593">
        <v>0</v>
      </c>
      <c r="I58" s="593">
        <v>0</v>
      </c>
      <c r="J58" s="601">
        <v>0</v>
      </c>
      <c r="K58" s="889">
        <v>0</v>
      </c>
      <c r="L58" s="58"/>
    </row>
    <row r="59" spans="2:12" s="2" customFormat="1">
      <c r="B59" s="538" t="s">
        <v>236</v>
      </c>
      <c r="C59" s="153" t="s">
        <v>125</v>
      </c>
      <c r="D59" s="592">
        <v>0</v>
      </c>
      <c r="E59" s="593">
        <v>0</v>
      </c>
      <c r="F59" s="593">
        <v>0</v>
      </c>
      <c r="G59" s="593">
        <v>0</v>
      </c>
      <c r="H59" s="593">
        <v>0</v>
      </c>
      <c r="I59" s="593">
        <v>0</v>
      </c>
      <c r="J59" s="601">
        <v>0</v>
      </c>
      <c r="K59" s="889">
        <v>0</v>
      </c>
      <c r="L59" s="58"/>
    </row>
    <row r="60" spans="2:12" s="2" customFormat="1">
      <c r="B60" s="538" t="s">
        <v>236</v>
      </c>
      <c r="C60" s="153" t="s">
        <v>125</v>
      </c>
      <c r="D60" s="592">
        <v>0</v>
      </c>
      <c r="E60" s="593">
        <v>0</v>
      </c>
      <c r="F60" s="593">
        <v>0</v>
      </c>
      <c r="G60" s="593">
        <v>0</v>
      </c>
      <c r="H60" s="593">
        <v>0</v>
      </c>
      <c r="I60" s="593">
        <v>0</v>
      </c>
      <c r="J60" s="601">
        <v>0</v>
      </c>
      <c r="K60" s="889">
        <v>0</v>
      </c>
      <c r="L60" s="58"/>
    </row>
    <row r="61" spans="2:12" s="2" customFormat="1">
      <c r="B61" s="538" t="s">
        <v>236</v>
      </c>
      <c r="C61" s="153" t="s">
        <v>125</v>
      </c>
      <c r="D61" s="592">
        <v>0</v>
      </c>
      <c r="E61" s="593">
        <v>0</v>
      </c>
      <c r="F61" s="593">
        <v>0</v>
      </c>
      <c r="G61" s="593">
        <v>0</v>
      </c>
      <c r="H61" s="593">
        <v>0</v>
      </c>
      <c r="I61" s="593">
        <v>0</v>
      </c>
      <c r="J61" s="601">
        <v>0</v>
      </c>
      <c r="K61" s="889">
        <v>0</v>
      </c>
      <c r="L61" s="58"/>
    </row>
    <row r="62" spans="2:12" s="2" customFormat="1">
      <c r="B62" s="538" t="s">
        <v>236</v>
      </c>
      <c r="C62" s="153" t="s">
        <v>125</v>
      </c>
      <c r="D62" s="592">
        <v>0</v>
      </c>
      <c r="E62" s="593">
        <v>0</v>
      </c>
      <c r="F62" s="593">
        <v>0</v>
      </c>
      <c r="G62" s="593">
        <v>0</v>
      </c>
      <c r="H62" s="593">
        <v>0</v>
      </c>
      <c r="I62" s="593">
        <v>0</v>
      </c>
      <c r="J62" s="601">
        <v>0</v>
      </c>
      <c r="K62" s="889">
        <v>0</v>
      </c>
      <c r="L62" s="58"/>
    </row>
    <row r="63" spans="2:12" s="2" customFormat="1">
      <c r="B63" s="727" t="s">
        <v>151</v>
      </c>
      <c r="C63" s="153" t="s">
        <v>125</v>
      </c>
      <c r="D63" s="922">
        <v>0</v>
      </c>
      <c r="E63" s="923">
        <v>0</v>
      </c>
      <c r="F63" s="923">
        <v>0</v>
      </c>
      <c r="G63" s="923">
        <v>0</v>
      </c>
      <c r="H63" s="923">
        <v>0</v>
      </c>
      <c r="I63" s="923">
        <v>0</v>
      </c>
      <c r="J63" s="610">
        <v>0</v>
      </c>
      <c r="K63" s="889">
        <v>0</v>
      </c>
      <c r="L63" s="58"/>
    </row>
    <row r="64" spans="2:12" s="2" customFormat="1">
      <c r="B64" s="723" t="s">
        <v>170</v>
      </c>
      <c r="C64" s="153" t="s">
        <v>125</v>
      </c>
      <c r="D64" s="597">
        <f t="shared" ref="D64:K64" si="5">SUM(D48:D63)</f>
        <v>-69.128</v>
      </c>
      <c r="E64" s="598">
        <f t="shared" si="5"/>
        <v>-72.917000000000002</v>
      </c>
      <c r="F64" s="598">
        <f t="shared" si="5"/>
        <v>-43.699999999999996</v>
      </c>
      <c r="G64" s="598">
        <f t="shared" si="5"/>
        <v>0.10714315599968938</v>
      </c>
      <c r="H64" s="598">
        <f t="shared" si="5"/>
        <v>-6.2805733333866822</v>
      </c>
      <c r="I64" s="598">
        <f t="shared" si="5"/>
        <v>-13.847035730000002</v>
      </c>
      <c r="J64" s="598">
        <f t="shared" si="5"/>
        <v>-17.490420709999999</v>
      </c>
      <c r="K64" s="892">
        <f t="shared" si="5"/>
        <v>0</v>
      </c>
      <c r="L64" s="58"/>
    </row>
    <row r="65" spans="1:12" s="2" customFormat="1">
      <c r="B65" s="226"/>
      <c r="C65" s="139"/>
      <c r="D65" s="56"/>
      <c r="E65" s="56"/>
      <c r="F65" s="56"/>
      <c r="G65" s="56"/>
      <c r="H65" s="56"/>
      <c r="I65" s="56"/>
      <c r="J65" s="56"/>
      <c r="K65" s="56"/>
      <c r="L65" s="58"/>
    </row>
    <row r="66" spans="1:12" s="2" customFormat="1">
      <c r="B66" s="723" t="s">
        <v>143</v>
      </c>
      <c r="C66" s="153" t="s">
        <v>125</v>
      </c>
      <c r="D66" s="605">
        <f t="shared" ref="D66:K66" si="6">D33+D45+D64</f>
        <v>405.99898190935602</v>
      </c>
      <c r="E66" s="606">
        <f t="shared" si="6"/>
        <v>400.147362771963</v>
      </c>
      <c r="F66" s="606">
        <f t="shared" si="6"/>
        <v>388.75794163</v>
      </c>
      <c r="G66" s="606">
        <f t="shared" si="6"/>
        <v>438.14492911999997</v>
      </c>
      <c r="H66" s="606">
        <f t="shared" si="6"/>
        <v>452.97222368999996</v>
      </c>
      <c r="I66" s="606">
        <f t="shared" si="6"/>
        <v>446.86681733999995</v>
      </c>
      <c r="J66" s="606">
        <f t="shared" si="6"/>
        <v>460.27376535999991</v>
      </c>
      <c r="K66" s="607">
        <f t="shared" si="6"/>
        <v>0</v>
      </c>
      <c r="L66" s="58"/>
    </row>
    <row r="67" spans="1:12" s="2" customFormat="1">
      <c r="B67" s="723" t="s">
        <v>187</v>
      </c>
      <c r="C67" s="153" t="s">
        <v>125</v>
      </c>
      <c r="D67" s="614">
        <v>406</v>
      </c>
      <c r="E67" s="615">
        <v>400.1</v>
      </c>
      <c r="F67" s="615">
        <v>388.8</v>
      </c>
      <c r="G67" s="615">
        <v>438.2</v>
      </c>
      <c r="H67" s="615">
        <v>452.97245124999995</v>
      </c>
      <c r="I67" s="615">
        <v>446.86700731000002</v>
      </c>
      <c r="J67" s="616">
        <v>460.27361848999999</v>
      </c>
      <c r="K67" s="889">
        <v>0</v>
      </c>
      <c r="L67" s="58"/>
    </row>
    <row r="68" spans="1:12" s="2" customFormat="1">
      <c r="B68" s="226" t="s">
        <v>119</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28"/>
      <c r="C71" s="151"/>
      <c r="D71" s="81"/>
      <c r="E71" s="81"/>
      <c r="F71" s="81"/>
      <c r="G71" s="81"/>
      <c r="H71" s="81"/>
      <c r="I71" s="81"/>
      <c r="J71" s="81"/>
      <c r="K71" s="81"/>
      <c r="L71" s="273"/>
    </row>
  </sheetData>
  <conditionalFormatting sqref="D6:K6">
    <cfRule type="expression" dxfId="87" priority="12">
      <formula>AND(D$5="Actuals",E$5="Forecast")</formula>
    </cfRule>
  </conditionalFormatting>
  <conditionalFormatting sqref="D5:K5">
    <cfRule type="expression" dxfId="86" priority="5">
      <formula>AND(D$5="Actuals",E$5="Forecast")</formula>
    </cfRule>
  </conditionalFormatting>
  <conditionalFormatting sqref="D45:K45 D64:K64 D28:H28 D66:K66 D68:K68">
    <cfRule type="expression" dxfId="85" priority="4">
      <formula>D$5="Forecast"</formula>
    </cfRule>
  </conditionalFormatting>
  <conditionalFormatting sqref="I14:K15 I28:K28 I17:K18 I26:K26">
    <cfRule type="expression" dxfId="84" priority="3">
      <formula>I$5="Forecast"</formula>
    </cfRule>
  </conditionalFormatting>
  <conditionalFormatting sqref="H14:H15 H17:H18 H26">
    <cfRule type="expression" dxfId="83" priority="2">
      <formula>H$5="Forecast"</formula>
    </cfRule>
  </conditionalFormatting>
  <conditionalFormatting sqref="G14:G15 G17:G18 G26">
    <cfRule type="expression" dxfId="82"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868" t="s">
        <v>302</v>
      </c>
      <c r="B1" s="869"/>
      <c r="C1" s="149"/>
      <c r="D1" s="122"/>
      <c r="E1" s="122"/>
      <c r="F1" s="122"/>
      <c r="G1" s="122"/>
      <c r="H1" s="122"/>
      <c r="I1" s="122"/>
      <c r="J1" s="122"/>
      <c r="K1" s="122"/>
      <c r="L1" s="123"/>
    </row>
    <row r="2" spans="1:12" s="31" customFormat="1" ht="20.25">
      <c r="A2" s="853" t="str">
        <f>'RFPR cover'!C5</f>
        <v>SPD</v>
      </c>
      <c r="B2" s="845"/>
      <c r="C2" s="135"/>
      <c r="D2" s="29"/>
      <c r="E2" s="29"/>
      <c r="F2" s="29"/>
      <c r="G2" s="29"/>
      <c r="H2" s="29"/>
      <c r="I2" s="27"/>
      <c r="J2" s="27"/>
      <c r="K2" s="27"/>
      <c r="L2" s="124"/>
    </row>
    <row r="3" spans="1:12" s="31" customFormat="1" ht="20.25">
      <c r="A3" s="870">
        <f>'RFPR cover'!C7</f>
        <v>2022</v>
      </c>
      <c r="B3" s="871"/>
      <c r="C3" s="150"/>
      <c r="D3" s="125"/>
      <c r="E3" s="125"/>
      <c r="F3" s="125"/>
      <c r="G3" s="125"/>
      <c r="H3" s="125"/>
      <c r="I3" s="28"/>
      <c r="J3" s="28"/>
      <c r="K3" s="28"/>
      <c r="L3" s="126"/>
    </row>
    <row r="4" spans="1:12" s="2" customFormat="1" ht="12.75" customHeight="1">
      <c r="C4" s="137"/>
    </row>
    <row r="5" spans="1:12" s="2" customFormat="1">
      <c r="B5" s="3"/>
      <c r="C5" s="137"/>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308</v>
      </c>
      <c r="C8" s="138"/>
      <c r="D8" s="51"/>
      <c r="E8" s="51"/>
      <c r="F8" s="51"/>
      <c r="G8" s="51"/>
      <c r="H8" s="51"/>
      <c r="I8" s="51"/>
      <c r="J8" s="51"/>
      <c r="K8" s="51"/>
      <c r="L8" s="35"/>
    </row>
    <row r="9" spans="1:12" s="2" customFormat="1">
      <c r="B9" s="130" t="s">
        <v>157</v>
      </c>
      <c r="C9" s="153" t="s">
        <v>125</v>
      </c>
      <c r="D9" s="590">
        <v>210.59999999999982</v>
      </c>
      <c r="E9" s="591">
        <v>223.2000000000001</v>
      </c>
      <c r="F9" s="591">
        <v>185.39999999999989</v>
      </c>
      <c r="G9" s="591">
        <v>206.6</v>
      </c>
      <c r="H9" s="591">
        <v>261.69999999999993</v>
      </c>
      <c r="I9" s="591">
        <v>270.69999999999993</v>
      </c>
      <c r="J9" s="591">
        <v>255.4000000000002</v>
      </c>
      <c r="K9" s="600"/>
    </row>
    <row r="10" spans="1:12" s="2" customFormat="1">
      <c r="B10" s="130" t="s">
        <v>158</v>
      </c>
      <c r="C10" s="153" t="s">
        <v>125</v>
      </c>
      <c r="D10" s="592">
        <v>0</v>
      </c>
      <c r="E10" s="593">
        <v>0</v>
      </c>
      <c r="F10" s="593">
        <v>0</v>
      </c>
      <c r="G10" s="593">
        <v>0</v>
      </c>
      <c r="H10" s="593">
        <v>0</v>
      </c>
      <c r="I10" s="593">
        <v>0</v>
      </c>
      <c r="J10" s="593">
        <v>0.2</v>
      </c>
      <c r="K10" s="601"/>
    </row>
    <row r="11" spans="1:12" s="2" customFormat="1" ht="29.25" customHeight="1">
      <c r="B11" s="131" t="s">
        <v>441</v>
      </c>
      <c r="C11" s="153" t="s">
        <v>125</v>
      </c>
      <c r="D11" s="592">
        <v>-0.25398512000000001</v>
      </c>
      <c r="E11" s="593">
        <v>-0.17613429</v>
      </c>
      <c r="F11" s="593">
        <v>-0.31744864</v>
      </c>
      <c r="G11" s="593">
        <v>-5.0716279999999996E-2</v>
      </c>
      <c r="H11" s="593">
        <v>-5.6185449999999998E-2</v>
      </c>
      <c r="I11" s="593">
        <v>-0.70825634000000004</v>
      </c>
      <c r="J11" s="593">
        <v>-0.57667565999999992</v>
      </c>
      <c r="K11" s="601"/>
    </row>
    <row r="12" spans="1:12" s="2" customFormat="1">
      <c r="B12" s="130" t="s">
        <v>159</v>
      </c>
      <c r="C12" s="153" t="s">
        <v>125</v>
      </c>
      <c r="D12" s="592">
        <v>-58.942541937671997</v>
      </c>
      <c r="E12" s="593">
        <v>-69.2</v>
      </c>
      <c r="F12" s="593">
        <v>-37</v>
      </c>
      <c r="G12" s="593">
        <v>-21.5</v>
      </c>
      <c r="H12" s="593">
        <v>-37.9</v>
      </c>
      <c r="I12" s="593">
        <v>-39.9</v>
      </c>
      <c r="J12" s="593">
        <v>-52.9</v>
      </c>
      <c r="K12" s="601"/>
    </row>
    <row r="13" spans="1:12" s="2" customFormat="1">
      <c r="B13" s="130" t="s">
        <v>160</v>
      </c>
      <c r="C13" s="153" t="s">
        <v>125</v>
      </c>
      <c r="D13" s="592">
        <v>0</v>
      </c>
      <c r="E13" s="593">
        <v>0</v>
      </c>
      <c r="F13" s="593">
        <v>0</v>
      </c>
      <c r="G13" s="593">
        <v>0</v>
      </c>
      <c r="H13" s="593">
        <v>0</v>
      </c>
      <c r="I13" s="593">
        <v>0</v>
      </c>
      <c r="J13" s="593">
        <v>0</v>
      </c>
      <c r="K13" s="601"/>
    </row>
    <row r="14" spans="1:12" s="2" customFormat="1">
      <c r="B14" s="130" t="s">
        <v>161</v>
      </c>
      <c r="C14" s="153" t="s">
        <v>125</v>
      </c>
      <c r="D14" s="592">
        <v>0</v>
      </c>
      <c r="E14" s="593">
        <v>0</v>
      </c>
      <c r="F14" s="593">
        <v>0</v>
      </c>
      <c r="G14" s="593">
        <v>0</v>
      </c>
      <c r="H14" s="593">
        <v>0</v>
      </c>
      <c r="I14" s="593">
        <v>0</v>
      </c>
      <c r="J14" s="593">
        <v>0</v>
      </c>
      <c r="K14" s="924"/>
    </row>
    <row r="15" spans="1:12" s="2" customFormat="1">
      <c r="A15" s="3">
        <v>1</v>
      </c>
      <c r="B15" s="821" t="s">
        <v>605</v>
      </c>
      <c r="C15" s="153" t="s">
        <v>125</v>
      </c>
      <c r="D15" s="592">
        <v>0</v>
      </c>
      <c r="E15" s="593">
        <v>0</v>
      </c>
      <c r="F15" s="593">
        <v>0</v>
      </c>
      <c r="G15" s="593">
        <v>0</v>
      </c>
      <c r="H15" s="593">
        <v>0</v>
      </c>
      <c r="I15" s="593">
        <v>0</v>
      </c>
      <c r="J15" s="593">
        <v>0</v>
      </c>
      <c r="K15" s="601"/>
    </row>
    <row r="16" spans="1:12" s="2" customFormat="1">
      <c r="A16" s="3">
        <v>2</v>
      </c>
      <c r="B16" s="887" t="s">
        <v>606</v>
      </c>
      <c r="C16" s="153" t="s">
        <v>125</v>
      </c>
      <c r="D16" s="592">
        <v>0</v>
      </c>
      <c r="E16" s="593">
        <v>0</v>
      </c>
      <c r="F16" s="593">
        <v>0</v>
      </c>
      <c r="G16" s="593">
        <v>0</v>
      </c>
      <c r="H16" s="593">
        <v>-58.2</v>
      </c>
      <c r="I16" s="593">
        <v>-61.400000000000006</v>
      </c>
      <c r="J16" s="593">
        <v>-60.400000000000006</v>
      </c>
      <c r="K16" s="601"/>
    </row>
    <row r="17" spans="1:11" s="2" customFormat="1">
      <c r="A17" s="3">
        <v>3</v>
      </c>
      <c r="B17" s="887" t="s">
        <v>236</v>
      </c>
      <c r="C17" s="153" t="s">
        <v>125</v>
      </c>
      <c r="D17" s="922">
        <v>0</v>
      </c>
      <c r="E17" s="923">
        <v>0</v>
      </c>
      <c r="F17" s="923">
        <v>0</v>
      </c>
      <c r="G17" s="923">
        <v>0</v>
      </c>
      <c r="H17" s="923">
        <v>0</v>
      </c>
      <c r="I17" s="923">
        <v>0</v>
      </c>
      <c r="J17" s="923">
        <v>0</v>
      </c>
      <c r="K17" s="601"/>
    </row>
    <row r="18" spans="1:11" s="2" customFormat="1">
      <c r="B18" s="888" t="s">
        <v>574</v>
      </c>
      <c r="C18" s="153" t="s">
        <v>125</v>
      </c>
      <c r="D18" s="611">
        <f>SUM(D9:D17)</f>
        <v>151.40347294232782</v>
      </c>
      <c r="E18" s="612">
        <f t="shared" ref="E18:K18" si="1">SUM(E9:E17)</f>
        <v>153.82386571000012</v>
      </c>
      <c r="F18" s="612">
        <f t="shared" si="1"/>
        <v>148.08255135999988</v>
      </c>
      <c r="G18" s="612">
        <f t="shared" si="1"/>
        <v>185.04928372000001</v>
      </c>
      <c r="H18" s="612">
        <f t="shared" si="1"/>
        <v>165.54381454999992</v>
      </c>
      <c r="I18" s="612">
        <f t="shared" si="1"/>
        <v>168.69174365999993</v>
      </c>
      <c r="J18" s="612">
        <f t="shared" si="1"/>
        <v>141.72332434000018</v>
      </c>
      <c r="K18" s="613">
        <f t="shared" si="1"/>
        <v>0</v>
      </c>
    </row>
    <row r="19" spans="1:11" s="2" customFormat="1">
      <c r="B19" s="888" t="s">
        <v>575</v>
      </c>
      <c r="C19" s="153" t="s">
        <v>125</v>
      </c>
      <c r="D19" s="614">
        <v>133.75398512000001</v>
      </c>
      <c r="E19" s="615">
        <v>137.19705494999999</v>
      </c>
      <c r="F19" s="615">
        <v>141.6698379</v>
      </c>
      <c r="G19" s="615">
        <v>150.25071628000001</v>
      </c>
      <c r="H19" s="615">
        <v>163.33727196999999</v>
      </c>
      <c r="I19" s="615">
        <v>157.58934285999999</v>
      </c>
      <c r="J19" s="615">
        <v>163.1</v>
      </c>
      <c r="K19" s="616"/>
    </row>
    <row r="20" spans="1:11" s="2" customFormat="1">
      <c r="A20" s="3">
        <v>1</v>
      </c>
      <c r="B20" s="887" t="s">
        <v>236</v>
      </c>
      <c r="C20" s="153" t="s">
        <v>125</v>
      </c>
      <c r="D20" s="590"/>
      <c r="E20" s="591"/>
      <c r="F20" s="591"/>
      <c r="G20" s="591"/>
      <c r="H20" s="591"/>
      <c r="I20" s="591"/>
      <c r="J20" s="591"/>
      <c r="K20" s="600"/>
    </row>
    <row r="21" spans="1:11" s="2" customFormat="1">
      <c r="A21" s="3">
        <v>2</v>
      </c>
      <c r="B21" s="887" t="s">
        <v>236</v>
      </c>
      <c r="C21" s="153" t="s">
        <v>125</v>
      </c>
      <c r="D21" s="592"/>
      <c r="E21" s="593"/>
      <c r="F21" s="593"/>
      <c r="G21" s="593"/>
      <c r="H21" s="593"/>
      <c r="I21" s="593"/>
      <c r="J21" s="593"/>
      <c r="K21" s="601"/>
    </row>
    <row r="22" spans="1:11" s="2" customFormat="1">
      <c r="A22" s="3">
        <v>3</v>
      </c>
      <c r="B22" s="887" t="s">
        <v>236</v>
      </c>
      <c r="C22" s="153" t="s">
        <v>125</v>
      </c>
      <c r="D22" s="592"/>
      <c r="E22" s="593"/>
      <c r="F22" s="593"/>
      <c r="G22" s="593"/>
      <c r="H22" s="593"/>
      <c r="I22" s="593"/>
      <c r="J22" s="593"/>
      <c r="K22" s="601"/>
    </row>
    <row r="23" spans="1:11" s="2" customFormat="1">
      <c r="B23" s="888" t="s">
        <v>576</v>
      </c>
      <c r="C23" s="153" t="s">
        <v>125</v>
      </c>
      <c r="D23" s="602">
        <f>SUM(D18:D22)</f>
        <v>285.15745806232781</v>
      </c>
      <c r="E23" s="603">
        <f t="shared" ref="E23:K23" si="2">SUM(E18:E22)</f>
        <v>291.02092066000012</v>
      </c>
      <c r="F23" s="603">
        <f t="shared" si="2"/>
        <v>289.75238925999986</v>
      </c>
      <c r="G23" s="603">
        <f t="shared" si="2"/>
        <v>335.3</v>
      </c>
      <c r="H23" s="603">
        <f t="shared" si="2"/>
        <v>328.88108651999994</v>
      </c>
      <c r="I23" s="603">
        <f t="shared" si="2"/>
        <v>326.28108651999992</v>
      </c>
      <c r="J23" s="603">
        <f t="shared" si="2"/>
        <v>304.82332434000017</v>
      </c>
      <c r="K23" s="604">
        <f t="shared" si="2"/>
        <v>0</v>
      </c>
    </row>
    <row r="24" spans="1:11" s="2" customFormat="1">
      <c r="B24" s="888"/>
      <c r="C24" s="137"/>
      <c r="D24" s="52"/>
      <c r="E24" s="52"/>
      <c r="F24" s="52"/>
      <c r="G24" s="52"/>
      <c r="H24" s="52"/>
      <c r="I24" s="52"/>
      <c r="J24" s="52"/>
      <c r="K24" s="52"/>
    </row>
    <row r="25" spans="1:11" s="2" customFormat="1">
      <c r="B25" s="888" t="s">
        <v>577</v>
      </c>
      <c r="C25" s="153" t="s">
        <v>125</v>
      </c>
      <c r="D25" s="54"/>
    </row>
    <row r="26" spans="1:11" s="2" customFormat="1">
      <c r="A26" s="3">
        <v>1</v>
      </c>
      <c r="B26" s="887" t="s">
        <v>607</v>
      </c>
      <c r="C26" s="153" t="s">
        <v>125</v>
      </c>
      <c r="D26" s="590">
        <v>-2.1693392996000003</v>
      </c>
      <c r="E26" s="591">
        <v>0.12961291999999999</v>
      </c>
      <c r="F26" s="591">
        <v>0.29642393000000006</v>
      </c>
      <c r="G26" s="591">
        <v>-0.56750780000000001</v>
      </c>
      <c r="H26" s="591">
        <v>0.11007084999999997</v>
      </c>
      <c r="I26" s="591">
        <v>0.14478154000000001</v>
      </c>
      <c r="J26" s="591">
        <v>1.9187440000000004E-2</v>
      </c>
      <c r="K26" s="600"/>
    </row>
    <row r="27" spans="1:11" s="2" customFormat="1">
      <c r="A27" s="3">
        <v>2</v>
      </c>
      <c r="B27" s="887" t="s">
        <v>608</v>
      </c>
      <c r="C27" s="153" t="s">
        <v>125</v>
      </c>
      <c r="D27" s="592">
        <v>-2.8301274599999995</v>
      </c>
      <c r="E27" s="593">
        <v>-2.8755542799999998</v>
      </c>
      <c r="F27" s="593">
        <v>-3.6864828443302939</v>
      </c>
      <c r="G27" s="593">
        <v>-5.623181646579356</v>
      </c>
      <c r="H27" s="593">
        <v>-8.6763299545670804</v>
      </c>
      <c r="I27" s="593">
        <v>-4.9209196554256556</v>
      </c>
      <c r="J27" s="593">
        <v>-4.1041748301623313</v>
      </c>
      <c r="K27" s="601"/>
    </row>
    <row r="28" spans="1:11" s="2" customFormat="1">
      <c r="A28" s="3">
        <v>3</v>
      </c>
      <c r="B28" s="887" t="s">
        <v>609</v>
      </c>
      <c r="C28" s="153" t="s">
        <v>125</v>
      </c>
      <c r="D28" s="592">
        <v>7.694515329999998</v>
      </c>
      <c r="E28" s="593">
        <v>8.8860069481013024</v>
      </c>
      <c r="F28" s="593">
        <v>8.1707140000002685</v>
      </c>
      <c r="G28" s="593">
        <v>4.9907813274971868</v>
      </c>
      <c r="H28" s="593">
        <v>3.7480748571929539</v>
      </c>
      <c r="I28" s="593">
        <v>8.1326536047148483</v>
      </c>
      <c r="J28" s="593">
        <v>14.050996746420495</v>
      </c>
      <c r="K28" s="601"/>
    </row>
    <row r="29" spans="1:11" s="2" customFormat="1">
      <c r="A29" s="3">
        <v>4</v>
      </c>
      <c r="B29" s="887" t="s">
        <v>610</v>
      </c>
      <c r="C29" s="153" t="s">
        <v>125</v>
      </c>
      <c r="D29" s="592">
        <v>-3.3135392642452537</v>
      </c>
      <c r="E29" s="593">
        <v>-1.1725447734435457</v>
      </c>
      <c r="F29" s="593">
        <v>-6.6977438544225318</v>
      </c>
      <c r="G29" s="593">
        <v>0</v>
      </c>
      <c r="H29" s="593">
        <v>0</v>
      </c>
      <c r="I29" s="593">
        <v>0</v>
      </c>
      <c r="J29" s="593">
        <v>0</v>
      </c>
      <c r="K29" s="601"/>
    </row>
    <row r="30" spans="1:11" s="2" customFormat="1">
      <c r="A30" s="3">
        <v>5</v>
      </c>
      <c r="B30" s="887" t="s">
        <v>611</v>
      </c>
      <c r="C30" s="153" t="s">
        <v>125</v>
      </c>
      <c r="D30" s="592">
        <v>8.5614999999999997E-2</v>
      </c>
      <c r="E30" s="593">
        <v>5.4679999999999999E-2</v>
      </c>
      <c r="F30" s="593">
        <v>0.11409000000000001</v>
      </c>
      <c r="G30" s="593">
        <v>0</v>
      </c>
      <c r="H30" s="593">
        <v>0</v>
      </c>
      <c r="I30" s="593">
        <v>0</v>
      </c>
      <c r="J30" s="593">
        <v>0</v>
      </c>
      <c r="K30" s="601"/>
    </row>
    <row r="31" spans="1:11" s="2" customFormat="1">
      <c r="A31" s="3">
        <v>6</v>
      </c>
      <c r="B31" s="887" t="s">
        <v>612</v>
      </c>
      <c r="C31" s="153" t="s">
        <v>125</v>
      </c>
      <c r="D31" s="592">
        <v>7.1106316869611357</v>
      </c>
      <c r="E31" s="593">
        <v>9.1652695511682243</v>
      </c>
      <c r="F31" s="593">
        <v>7.324212366711925</v>
      </c>
      <c r="G31" s="593">
        <v>3.0675014520771655</v>
      </c>
      <c r="H31" s="593">
        <v>1.8091533410534149</v>
      </c>
      <c r="I31" s="593">
        <v>2.3851786991026289</v>
      </c>
      <c r="J31" s="593">
        <v>3.6359824803373244</v>
      </c>
      <c r="K31" s="601"/>
    </row>
    <row r="32" spans="1:11" s="2" customFormat="1">
      <c r="A32" s="3">
        <v>7</v>
      </c>
      <c r="B32" s="887" t="s">
        <v>613</v>
      </c>
      <c r="C32" s="153" t="s">
        <v>125</v>
      </c>
      <c r="D32" s="592">
        <v>27.46</v>
      </c>
      <c r="E32" s="593">
        <v>34.084823744341811</v>
      </c>
      <c r="F32" s="593">
        <v>25.605000000689422</v>
      </c>
      <c r="G32" s="593">
        <v>26.603595000716304</v>
      </c>
      <c r="H32" s="593">
        <v>28.406415083682628</v>
      </c>
      <c r="I32" s="593">
        <v>26.248555046159851</v>
      </c>
      <c r="J32" s="593">
        <v>26.545163722628629</v>
      </c>
      <c r="K32" s="601"/>
    </row>
    <row r="33" spans="1:11" s="2" customFormat="1">
      <c r="A33" s="3">
        <v>8</v>
      </c>
      <c r="B33" s="887" t="s">
        <v>614</v>
      </c>
      <c r="C33" s="153" t="s">
        <v>125</v>
      </c>
      <c r="D33" s="592">
        <v>-1.4432899320127035E-15</v>
      </c>
      <c r="E33" s="593">
        <v>0.45131329961449729</v>
      </c>
      <c r="F33" s="593">
        <v>0.75692776321565081</v>
      </c>
      <c r="G33" s="593">
        <v>0.24755320999999986</v>
      </c>
      <c r="H33" s="593">
        <v>-0.11575951999999338</v>
      </c>
      <c r="I33" s="593">
        <v>-0.70825634000000004</v>
      </c>
      <c r="J33" s="593">
        <v>-0.57667566000000015</v>
      </c>
      <c r="K33" s="601"/>
    </row>
    <row r="34" spans="1:11" s="2" customFormat="1">
      <c r="A34" s="3">
        <v>9</v>
      </c>
      <c r="B34" s="887" t="s">
        <v>615</v>
      </c>
      <c r="C34" s="153" t="s">
        <v>125</v>
      </c>
      <c r="D34" s="592">
        <v>0</v>
      </c>
      <c r="E34" s="593">
        <v>0</v>
      </c>
      <c r="F34" s="593">
        <v>0</v>
      </c>
      <c r="G34" s="593">
        <v>-2.86498835</v>
      </c>
      <c r="H34" s="593">
        <v>-1.4773433599999999</v>
      </c>
      <c r="I34" s="593">
        <v>-5.4526209999999964E-2</v>
      </c>
      <c r="J34" s="593">
        <v>0.1519761200000001</v>
      </c>
      <c r="K34" s="601"/>
    </row>
    <row r="35" spans="1:11" s="2" customFormat="1">
      <c r="A35" s="3">
        <v>10</v>
      </c>
      <c r="B35" s="887" t="s">
        <v>616</v>
      </c>
      <c r="C35" s="153" t="s">
        <v>125</v>
      </c>
      <c r="D35" s="592">
        <v>0</v>
      </c>
      <c r="E35" s="593">
        <v>0</v>
      </c>
      <c r="F35" s="593">
        <v>0</v>
      </c>
      <c r="G35" s="593">
        <v>-0.52</v>
      </c>
      <c r="H35" s="593">
        <v>-1.14711026</v>
      </c>
      <c r="I35" s="593">
        <v>-0.54328495999999993</v>
      </c>
      <c r="J35" s="593">
        <v>-0.84019103999999989</v>
      </c>
      <c r="K35" s="601"/>
    </row>
    <row r="36" spans="1:11" s="2" customFormat="1">
      <c r="A36" s="3">
        <v>11</v>
      </c>
      <c r="B36" s="887" t="s">
        <v>617</v>
      </c>
      <c r="C36" s="153" t="s">
        <v>125</v>
      </c>
      <c r="D36" s="592">
        <v>0</v>
      </c>
      <c r="E36" s="593">
        <v>0</v>
      </c>
      <c r="F36" s="593">
        <v>0</v>
      </c>
      <c r="G36" s="593">
        <v>0</v>
      </c>
      <c r="H36" s="593">
        <v>3.2863082100000005</v>
      </c>
      <c r="I36" s="593">
        <v>1.341037659394348</v>
      </c>
      <c r="J36" s="593">
        <v>1.2349409346499993</v>
      </c>
      <c r="K36" s="601"/>
    </row>
    <row r="37" spans="1:11" s="2" customFormat="1">
      <c r="A37" s="3">
        <v>12</v>
      </c>
      <c r="B37" s="887" t="s">
        <v>236</v>
      </c>
      <c r="C37" s="153" t="s">
        <v>125</v>
      </c>
      <c r="D37" s="592">
        <v>0</v>
      </c>
      <c r="E37" s="593">
        <v>0</v>
      </c>
      <c r="F37" s="593">
        <v>0</v>
      </c>
      <c r="G37" s="593">
        <v>0</v>
      </c>
      <c r="H37" s="593">
        <v>0</v>
      </c>
      <c r="I37" s="593">
        <v>0</v>
      </c>
      <c r="J37" s="593">
        <v>0</v>
      </c>
      <c r="K37" s="601"/>
    </row>
    <row r="38" spans="1:11" s="2" customFormat="1">
      <c r="A38" s="3">
        <v>13</v>
      </c>
      <c r="B38" s="887" t="s">
        <v>236</v>
      </c>
      <c r="C38" s="153" t="s">
        <v>125</v>
      </c>
      <c r="D38" s="592">
        <v>0</v>
      </c>
      <c r="E38" s="593">
        <v>0</v>
      </c>
      <c r="F38" s="593">
        <v>0</v>
      </c>
      <c r="G38" s="593">
        <v>0</v>
      </c>
      <c r="H38" s="593">
        <v>0</v>
      </c>
      <c r="I38" s="593">
        <v>0</v>
      </c>
      <c r="J38" s="593">
        <v>0</v>
      </c>
      <c r="K38" s="601"/>
    </row>
    <row r="39" spans="1:11" s="2" customFormat="1">
      <c r="A39" s="3">
        <v>14</v>
      </c>
      <c r="B39" s="887" t="s">
        <v>236</v>
      </c>
      <c r="C39" s="153" t="s">
        <v>125</v>
      </c>
      <c r="D39" s="592">
        <v>0</v>
      </c>
      <c r="E39" s="593">
        <v>0</v>
      </c>
      <c r="F39" s="593">
        <v>0</v>
      </c>
      <c r="G39" s="593">
        <v>0</v>
      </c>
      <c r="H39" s="593">
        <v>0</v>
      </c>
      <c r="I39" s="593">
        <v>0</v>
      </c>
      <c r="J39" s="593">
        <v>0</v>
      </c>
      <c r="K39" s="601"/>
    </row>
    <row r="40" spans="1:11" s="2" customFormat="1">
      <c r="A40" s="3">
        <v>15</v>
      </c>
      <c r="B40" s="887" t="s">
        <v>236</v>
      </c>
      <c r="C40" s="153" t="s">
        <v>125</v>
      </c>
      <c r="D40" s="592">
        <v>0</v>
      </c>
      <c r="E40" s="593">
        <v>0</v>
      </c>
      <c r="F40" s="593">
        <v>0</v>
      </c>
      <c r="G40" s="593">
        <v>0</v>
      </c>
      <c r="H40" s="593">
        <v>0</v>
      </c>
      <c r="I40" s="593">
        <v>0</v>
      </c>
      <c r="J40" s="593">
        <v>0</v>
      </c>
      <c r="K40" s="601"/>
    </row>
    <row r="41" spans="1:11" s="2" customFormat="1">
      <c r="A41" s="3">
        <v>16</v>
      </c>
      <c r="B41" s="887" t="s">
        <v>236</v>
      </c>
      <c r="C41" s="153" t="s">
        <v>125</v>
      </c>
      <c r="D41" s="592">
        <v>0</v>
      </c>
      <c r="E41" s="593">
        <v>0</v>
      </c>
      <c r="F41" s="593">
        <v>0</v>
      </c>
      <c r="G41" s="593">
        <v>0</v>
      </c>
      <c r="H41" s="593">
        <v>0</v>
      </c>
      <c r="I41" s="593">
        <v>0</v>
      </c>
      <c r="J41" s="593">
        <v>0</v>
      </c>
      <c r="K41" s="601"/>
    </row>
    <row r="42" spans="1:11" s="2" customFormat="1">
      <c r="A42" s="3">
        <v>17</v>
      </c>
      <c r="B42" s="887" t="s">
        <v>236</v>
      </c>
      <c r="C42" s="153" t="s">
        <v>125</v>
      </c>
      <c r="D42" s="592">
        <v>0</v>
      </c>
      <c r="E42" s="593">
        <v>0</v>
      </c>
      <c r="F42" s="593">
        <v>0</v>
      </c>
      <c r="G42" s="593">
        <v>0</v>
      </c>
      <c r="H42" s="593">
        <v>0</v>
      </c>
      <c r="I42" s="593">
        <v>0</v>
      </c>
      <c r="J42" s="593">
        <v>0</v>
      </c>
      <c r="K42" s="601"/>
    </row>
    <row r="43" spans="1:11" s="2" customFormat="1">
      <c r="A43" s="3">
        <v>18</v>
      </c>
      <c r="B43" s="887" t="s">
        <v>236</v>
      </c>
      <c r="C43" s="153" t="s">
        <v>125</v>
      </c>
      <c r="D43" s="592">
        <v>0</v>
      </c>
      <c r="E43" s="593">
        <v>0</v>
      </c>
      <c r="F43" s="593">
        <v>0</v>
      </c>
      <c r="G43" s="593">
        <v>0</v>
      </c>
      <c r="H43" s="593">
        <v>0</v>
      </c>
      <c r="I43" s="593">
        <v>0</v>
      </c>
      <c r="J43" s="593">
        <v>0</v>
      </c>
      <c r="K43" s="601"/>
    </row>
    <row r="44" spans="1:11" s="2" customFormat="1">
      <c r="A44" s="3">
        <v>19</v>
      </c>
      <c r="B44" s="887" t="s">
        <v>236</v>
      </c>
      <c r="C44" s="153" t="s">
        <v>125</v>
      </c>
      <c r="D44" s="592">
        <v>0</v>
      </c>
      <c r="E44" s="593">
        <v>0</v>
      </c>
      <c r="F44" s="593">
        <v>0</v>
      </c>
      <c r="G44" s="593">
        <v>0</v>
      </c>
      <c r="H44" s="593">
        <v>0</v>
      </c>
      <c r="I44" s="593">
        <v>0</v>
      </c>
      <c r="J44" s="593">
        <v>0</v>
      </c>
      <c r="K44" s="601"/>
    </row>
    <row r="45" spans="1:11" s="2" customFormat="1">
      <c r="A45" s="3">
        <v>20</v>
      </c>
      <c r="B45" s="887" t="s">
        <v>236</v>
      </c>
      <c r="C45" s="153" t="s">
        <v>125</v>
      </c>
      <c r="D45" s="922">
        <v>0</v>
      </c>
      <c r="E45" s="923">
        <v>0</v>
      </c>
      <c r="F45" s="923">
        <v>0</v>
      </c>
      <c r="G45" s="923">
        <v>0</v>
      </c>
      <c r="H45" s="923">
        <v>0</v>
      </c>
      <c r="I45" s="923">
        <v>0</v>
      </c>
      <c r="J45" s="923">
        <v>0</v>
      </c>
      <c r="K45" s="610"/>
    </row>
    <row r="46" spans="1:11" s="2" customFormat="1">
      <c r="B46" s="888" t="s">
        <v>578</v>
      </c>
      <c r="C46" s="153" t="s">
        <v>125</v>
      </c>
      <c r="D46" s="602">
        <f>SUM(D26:D45)</f>
        <v>34.03775599311588</v>
      </c>
      <c r="E46" s="603">
        <f t="shared" ref="E46:K46" si="3">SUM(E26:E45)</f>
        <v>48.723607409782289</v>
      </c>
      <c r="F46" s="603">
        <f t="shared" si="3"/>
        <v>31.883141361864439</v>
      </c>
      <c r="G46" s="603">
        <f t="shared" si="3"/>
        <v>25.333753193711299</v>
      </c>
      <c r="H46" s="603">
        <f t="shared" si="3"/>
        <v>25.943479247361921</v>
      </c>
      <c r="I46" s="603">
        <f t="shared" si="3"/>
        <v>32.025219383946023</v>
      </c>
      <c r="J46" s="603">
        <f t="shared" si="3"/>
        <v>40.117205913874116</v>
      </c>
      <c r="K46" s="604">
        <f t="shared" si="3"/>
        <v>0</v>
      </c>
    </row>
    <row r="47" spans="1:11" s="2" customFormat="1">
      <c r="B47" s="888"/>
      <c r="C47" s="137"/>
      <c r="D47" s="53"/>
      <c r="E47" s="52"/>
      <c r="F47" s="52"/>
      <c r="G47" s="52"/>
      <c r="H47" s="52"/>
      <c r="I47" s="52"/>
      <c r="J47" s="52"/>
      <c r="K47" s="52"/>
    </row>
    <row r="48" spans="1:11" s="2" customFormat="1">
      <c r="B48" s="888" t="s">
        <v>579</v>
      </c>
      <c r="C48" s="153" t="s">
        <v>125</v>
      </c>
      <c r="D48" s="602">
        <f>D46+D23</f>
        <v>319.19521405544367</v>
      </c>
      <c r="E48" s="603">
        <f t="shared" ref="E48:K48" si="4">E46+E23</f>
        <v>339.7445280697824</v>
      </c>
      <c r="F48" s="603">
        <f t="shared" si="4"/>
        <v>321.63553062186429</v>
      </c>
      <c r="G48" s="603">
        <f t="shared" si="4"/>
        <v>360.6337531937113</v>
      </c>
      <c r="H48" s="603">
        <f t="shared" si="4"/>
        <v>354.82456576736183</v>
      </c>
      <c r="I48" s="603">
        <f t="shared" si="4"/>
        <v>358.30630590394594</v>
      </c>
      <c r="J48" s="603">
        <f t="shared" si="4"/>
        <v>344.94053025387427</v>
      </c>
      <c r="K48" s="604">
        <f t="shared" si="4"/>
        <v>0</v>
      </c>
    </row>
    <row r="49" spans="1:11" s="2" customFormat="1">
      <c r="B49" s="888" t="s">
        <v>580</v>
      </c>
      <c r="C49" s="153" t="s">
        <v>125</v>
      </c>
      <c r="D49" s="614">
        <v>319.29835309183761</v>
      </c>
      <c r="E49" s="615">
        <v>339.7445280697824</v>
      </c>
      <c r="F49" s="615">
        <v>321.63739169868313</v>
      </c>
      <c r="G49" s="615">
        <v>360.6337531937113</v>
      </c>
      <c r="H49" s="615">
        <v>354.82456576736183</v>
      </c>
      <c r="I49" s="615">
        <v>358.306305903946</v>
      </c>
      <c r="J49" s="615">
        <v>344.94053025387433</v>
      </c>
      <c r="K49" s="600"/>
    </row>
    <row r="50" spans="1:11" s="2" customFormat="1">
      <c r="B50" s="888"/>
      <c r="C50" s="137" t="s">
        <v>390</v>
      </c>
      <c r="D50" s="617" t="str">
        <f>IF(D$5="Actuals",IF(ABS(D48-D49)&lt;1,"OK","ERROR"),"N/A")</f>
        <v>OK</v>
      </c>
      <c r="E50" s="618" t="str">
        <f t="shared" ref="E50:K50" si="5">IF(E$5="Actuals",IF(ABS(E48-E49)&lt;1,"OK","ERROR"),"N/A")</f>
        <v>OK</v>
      </c>
      <c r="F50" s="618" t="str">
        <f t="shared" si="5"/>
        <v>OK</v>
      </c>
      <c r="G50" s="618" t="str">
        <f t="shared" si="5"/>
        <v>OK</v>
      </c>
      <c r="H50" s="618" t="str">
        <f t="shared" si="5"/>
        <v>OK</v>
      </c>
      <c r="I50" s="618" t="str">
        <f t="shared" si="5"/>
        <v>OK</v>
      </c>
      <c r="J50" s="618" t="str">
        <f t="shared" si="5"/>
        <v>OK</v>
      </c>
      <c r="K50" s="619" t="str">
        <f t="shared" si="5"/>
        <v>N/A</v>
      </c>
    </row>
    <row r="51" spans="1:11" s="2" customFormat="1">
      <c r="B51" s="888" t="s">
        <v>81</v>
      </c>
      <c r="C51" s="137"/>
      <c r="D51" s="54"/>
    </row>
    <row r="52" spans="1:11" s="2" customFormat="1">
      <c r="B52" s="888" t="s">
        <v>581</v>
      </c>
      <c r="C52" s="153"/>
      <c r="D52" s="54"/>
    </row>
    <row r="53" spans="1:11" s="2" customFormat="1">
      <c r="A53" s="3">
        <v>1</v>
      </c>
      <c r="B53" s="887" t="s">
        <v>618</v>
      </c>
      <c r="C53" s="153" t="s">
        <v>125</v>
      </c>
      <c r="D53" s="590">
        <v>68.560555509434437</v>
      </c>
      <c r="E53" s="591">
        <v>71.343272718838861</v>
      </c>
      <c r="F53" s="591">
        <v>63.605079118283989</v>
      </c>
      <c r="G53" s="591">
        <v>65.83908766405159</v>
      </c>
      <c r="H53" s="591">
        <v>74.884408714591842</v>
      </c>
      <c r="I53" s="591">
        <v>72.505015652733562</v>
      </c>
      <c r="J53" s="591">
        <v>66.325446676666687</v>
      </c>
      <c r="K53" s="600"/>
    </row>
    <row r="54" spans="1:11" s="2" customFormat="1">
      <c r="A54" s="3">
        <v>2</v>
      </c>
      <c r="B54" s="887" t="s">
        <v>619</v>
      </c>
      <c r="C54" s="153" t="s">
        <v>125</v>
      </c>
      <c r="D54" s="592">
        <v>26.247193660000001</v>
      </c>
      <c r="E54" s="593">
        <v>27.271970059704106</v>
      </c>
      <c r="F54" s="593">
        <v>22.242841974874175</v>
      </c>
      <c r="G54" s="593">
        <v>25.14352862497427</v>
      </c>
      <c r="H54" s="593">
        <v>24.13986271520843</v>
      </c>
      <c r="I54" s="593">
        <v>21.929800362860764</v>
      </c>
      <c r="J54" s="593">
        <v>26.775879998328477</v>
      </c>
      <c r="K54" s="601"/>
    </row>
    <row r="55" spans="1:11" s="2" customFormat="1">
      <c r="A55" s="3">
        <v>3</v>
      </c>
      <c r="B55" s="887" t="s">
        <v>620</v>
      </c>
      <c r="C55" s="153" t="s">
        <v>125</v>
      </c>
      <c r="D55" s="592">
        <v>19.277884390901413</v>
      </c>
      <c r="E55" s="593">
        <v>17.537122043015753</v>
      </c>
      <c r="F55" s="593">
        <v>1.3677701404076199</v>
      </c>
      <c r="G55" s="593">
        <v>10.209268919999973</v>
      </c>
      <c r="H55" s="593">
        <v>-0.16585583000002468</v>
      </c>
      <c r="I55" s="593">
        <v>9.0810968255999995</v>
      </c>
      <c r="J55" s="593">
        <v>3.5483178681998169</v>
      </c>
      <c r="K55" s="601"/>
    </row>
    <row r="56" spans="1:11" s="2" customFormat="1">
      <c r="A56" s="3">
        <v>4</v>
      </c>
      <c r="B56" s="887" t="s">
        <v>621</v>
      </c>
      <c r="C56" s="153" t="s">
        <v>125</v>
      </c>
      <c r="D56" s="592">
        <v>7.4095865390339739</v>
      </c>
      <c r="E56" s="593">
        <v>7.9328455351655318</v>
      </c>
      <c r="F56" s="593">
        <v>6.6774568303974444</v>
      </c>
      <c r="G56" s="593">
        <v>1.14842796</v>
      </c>
      <c r="H56" s="593">
        <v>1.2293546900000001</v>
      </c>
      <c r="I56" s="593">
        <v>1.14794829</v>
      </c>
      <c r="J56" s="593">
        <v>1.1604122699999999</v>
      </c>
      <c r="K56" s="601"/>
    </row>
    <row r="57" spans="1:11" s="2" customFormat="1">
      <c r="A57" s="3">
        <v>5</v>
      </c>
      <c r="B57" s="887" t="s">
        <v>622</v>
      </c>
      <c r="C57" s="153" t="s">
        <v>125</v>
      </c>
      <c r="D57" s="592">
        <v>3.5863360350865836</v>
      </c>
      <c r="E57" s="593">
        <v>2.1804868840714704</v>
      </c>
      <c r="F57" s="593">
        <v>2.1357457854351294</v>
      </c>
      <c r="G57" s="593">
        <v>2.1260567844522504</v>
      </c>
      <c r="H57" s="593">
        <v>1.7788590840169085</v>
      </c>
      <c r="I57" s="593">
        <v>2.4320443905956717</v>
      </c>
      <c r="J57" s="593">
        <v>2.5347744427164955</v>
      </c>
      <c r="K57" s="601"/>
    </row>
    <row r="58" spans="1:11" s="2" customFormat="1">
      <c r="A58" s="3">
        <v>6</v>
      </c>
      <c r="B58" s="887" t="s">
        <v>623</v>
      </c>
      <c r="C58" s="153" t="s">
        <v>125</v>
      </c>
      <c r="D58" s="592">
        <v>0.25398512000000001</v>
      </c>
      <c r="E58" s="593">
        <v>0.17094779000000002</v>
      </c>
      <c r="F58" s="593">
        <v>0.31744863999999995</v>
      </c>
      <c r="G58" s="593">
        <v>0.21099999999999999</v>
      </c>
      <c r="H58" s="593">
        <v>0.33642785999999425</v>
      </c>
      <c r="I58" s="593">
        <v>1.0089554099999987</v>
      </c>
      <c r="J58" s="593">
        <v>0.84708751999999976</v>
      </c>
      <c r="K58" s="601"/>
    </row>
    <row r="59" spans="1:11" s="2" customFormat="1">
      <c r="A59" s="3">
        <v>7</v>
      </c>
      <c r="B59" s="887" t="s">
        <v>624</v>
      </c>
      <c r="C59" s="153" t="s">
        <v>125</v>
      </c>
      <c r="D59" s="592">
        <v>0.79262246999999997</v>
      </c>
      <c r="E59" s="593">
        <v>0.77397466000000004</v>
      </c>
      <c r="F59" s="593">
        <v>0.81149777999999995</v>
      </c>
      <c r="G59" s="593">
        <v>0.77443012</v>
      </c>
      <c r="H59" s="593">
        <v>0.88164679000000001</v>
      </c>
      <c r="I59" s="593">
        <v>0.5568885400000001</v>
      </c>
      <c r="J59" s="593">
        <v>0.84283999000000009</v>
      </c>
      <c r="K59" s="601"/>
    </row>
    <row r="60" spans="1:11" s="2" customFormat="1">
      <c r="A60" s="3">
        <v>8</v>
      </c>
      <c r="B60" s="887" t="s">
        <v>236</v>
      </c>
      <c r="C60" s="153" t="s">
        <v>125</v>
      </c>
      <c r="D60" s="592">
        <v>0</v>
      </c>
      <c r="E60" s="593">
        <v>0</v>
      </c>
      <c r="F60" s="593">
        <v>0</v>
      </c>
      <c r="G60" s="593">
        <v>0</v>
      </c>
      <c r="H60" s="593">
        <v>0</v>
      </c>
      <c r="I60" s="593">
        <v>0</v>
      </c>
      <c r="J60" s="593">
        <v>0</v>
      </c>
      <c r="K60" s="601"/>
    </row>
    <row r="61" spans="1:11" s="2" customFormat="1">
      <c r="A61" s="3">
        <v>9</v>
      </c>
      <c r="B61" s="887" t="s">
        <v>236</v>
      </c>
      <c r="C61" s="153" t="s">
        <v>125</v>
      </c>
      <c r="D61" s="592">
        <v>0</v>
      </c>
      <c r="E61" s="593">
        <v>0</v>
      </c>
      <c r="F61" s="593">
        <v>0</v>
      </c>
      <c r="G61" s="593">
        <v>0</v>
      </c>
      <c r="H61" s="593">
        <v>0</v>
      </c>
      <c r="I61" s="593">
        <v>0</v>
      </c>
      <c r="J61" s="593">
        <v>0</v>
      </c>
      <c r="K61" s="601"/>
    </row>
    <row r="62" spans="1:11" s="2" customFormat="1">
      <c r="A62" s="3">
        <v>10</v>
      </c>
      <c r="B62" s="887" t="s">
        <v>236</v>
      </c>
      <c r="C62" s="153" t="s">
        <v>125</v>
      </c>
      <c r="D62" s="592">
        <v>0</v>
      </c>
      <c r="E62" s="593">
        <v>0</v>
      </c>
      <c r="F62" s="593">
        <v>0</v>
      </c>
      <c r="G62" s="593">
        <v>0</v>
      </c>
      <c r="H62" s="593">
        <v>0</v>
      </c>
      <c r="I62" s="593">
        <v>0</v>
      </c>
      <c r="J62" s="593">
        <v>0</v>
      </c>
      <c r="K62" s="601"/>
    </row>
    <row r="63" spans="1:11" s="2" customFormat="1">
      <c r="A63" s="3">
        <v>11</v>
      </c>
      <c r="B63" s="887" t="s">
        <v>236</v>
      </c>
      <c r="C63" s="153" t="s">
        <v>125</v>
      </c>
      <c r="D63" s="592">
        <v>0</v>
      </c>
      <c r="E63" s="593">
        <v>0</v>
      </c>
      <c r="F63" s="593">
        <v>0</v>
      </c>
      <c r="G63" s="593">
        <v>0</v>
      </c>
      <c r="H63" s="593">
        <v>0</v>
      </c>
      <c r="I63" s="593">
        <v>0</v>
      </c>
      <c r="J63" s="593">
        <v>0</v>
      </c>
      <c r="K63" s="601"/>
    </row>
    <row r="64" spans="1:11" s="2" customFormat="1">
      <c r="A64" s="3">
        <v>12</v>
      </c>
      <c r="B64" s="887" t="s">
        <v>236</v>
      </c>
      <c r="C64" s="153" t="s">
        <v>125</v>
      </c>
      <c r="D64" s="592">
        <v>0</v>
      </c>
      <c r="E64" s="593">
        <v>0</v>
      </c>
      <c r="F64" s="593">
        <v>0</v>
      </c>
      <c r="G64" s="593">
        <v>0</v>
      </c>
      <c r="H64" s="593">
        <v>0</v>
      </c>
      <c r="I64" s="593">
        <v>0</v>
      </c>
      <c r="J64" s="593">
        <v>0</v>
      </c>
      <c r="K64" s="601"/>
    </row>
    <row r="65" spans="1:11" s="2" customFormat="1">
      <c r="A65" s="3">
        <v>13</v>
      </c>
      <c r="B65" s="887" t="s">
        <v>236</v>
      </c>
      <c r="C65" s="153" t="s">
        <v>125</v>
      </c>
      <c r="D65" s="592">
        <v>0</v>
      </c>
      <c r="E65" s="593">
        <v>0</v>
      </c>
      <c r="F65" s="593">
        <v>0</v>
      </c>
      <c r="G65" s="593">
        <v>0</v>
      </c>
      <c r="H65" s="593">
        <v>0</v>
      </c>
      <c r="I65" s="593">
        <v>0</v>
      </c>
      <c r="J65" s="593">
        <v>0</v>
      </c>
      <c r="K65" s="601"/>
    </row>
    <row r="66" spans="1:11" s="2" customFormat="1">
      <c r="A66" s="3">
        <v>14</v>
      </c>
      <c r="B66" s="887" t="s">
        <v>236</v>
      </c>
      <c r="C66" s="153" t="s">
        <v>125</v>
      </c>
      <c r="D66" s="592">
        <v>0</v>
      </c>
      <c r="E66" s="593">
        <v>0</v>
      </c>
      <c r="F66" s="593">
        <v>0</v>
      </c>
      <c r="G66" s="593">
        <v>0</v>
      </c>
      <c r="H66" s="593">
        <v>0</v>
      </c>
      <c r="I66" s="593">
        <v>0</v>
      </c>
      <c r="J66" s="593">
        <v>0</v>
      </c>
      <c r="K66" s="601"/>
    </row>
    <row r="67" spans="1:11" s="2" customFormat="1">
      <c r="A67" s="3">
        <v>15</v>
      </c>
      <c r="B67" s="887" t="s">
        <v>236</v>
      </c>
      <c r="C67" s="153" t="s">
        <v>125</v>
      </c>
      <c r="D67" s="592">
        <v>0</v>
      </c>
      <c r="E67" s="593">
        <v>0</v>
      </c>
      <c r="F67" s="593">
        <v>0</v>
      </c>
      <c r="G67" s="593">
        <v>0</v>
      </c>
      <c r="H67" s="593">
        <v>0</v>
      </c>
      <c r="I67" s="593">
        <v>0</v>
      </c>
      <c r="J67" s="593">
        <v>0</v>
      </c>
      <c r="K67" s="601"/>
    </row>
    <row r="68" spans="1:11" s="2" customFormat="1">
      <c r="A68" s="3">
        <v>16</v>
      </c>
      <c r="B68" s="887" t="s">
        <v>236</v>
      </c>
      <c r="C68" s="153" t="s">
        <v>125</v>
      </c>
      <c r="D68" s="592">
        <v>0</v>
      </c>
      <c r="E68" s="593">
        <v>0</v>
      </c>
      <c r="F68" s="593">
        <v>0</v>
      </c>
      <c r="G68" s="593">
        <v>0</v>
      </c>
      <c r="H68" s="593">
        <v>0</v>
      </c>
      <c r="I68" s="593">
        <v>0</v>
      </c>
      <c r="J68" s="593">
        <v>0</v>
      </c>
      <c r="K68" s="601"/>
    </row>
    <row r="69" spans="1:11" s="2" customFormat="1">
      <c r="A69" s="3">
        <v>17</v>
      </c>
      <c r="B69" s="887" t="s">
        <v>236</v>
      </c>
      <c r="C69" s="153" t="s">
        <v>125</v>
      </c>
      <c r="D69" s="592">
        <v>0</v>
      </c>
      <c r="E69" s="593">
        <v>0</v>
      </c>
      <c r="F69" s="593">
        <v>0</v>
      </c>
      <c r="G69" s="593">
        <v>0</v>
      </c>
      <c r="H69" s="593">
        <v>0</v>
      </c>
      <c r="I69" s="593">
        <v>0</v>
      </c>
      <c r="J69" s="593">
        <v>0</v>
      </c>
      <c r="K69" s="601"/>
    </row>
    <row r="70" spans="1:11" s="2" customFormat="1">
      <c r="A70" s="3">
        <v>18</v>
      </c>
      <c r="B70" s="887" t="s">
        <v>236</v>
      </c>
      <c r="C70" s="153" t="s">
        <v>125</v>
      </c>
      <c r="D70" s="592">
        <v>0</v>
      </c>
      <c r="E70" s="593">
        <v>0</v>
      </c>
      <c r="F70" s="593">
        <v>0</v>
      </c>
      <c r="G70" s="593">
        <v>0</v>
      </c>
      <c r="H70" s="593">
        <v>0</v>
      </c>
      <c r="I70" s="593">
        <v>0</v>
      </c>
      <c r="J70" s="593">
        <v>0</v>
      </c>
      <c r="K70" s="601"/>
    </row>
    <row r="71" spans="1:11" s="2" customFormat="1">
      <c r="A71" s="3">
        <v>19</v>
      </c>
      <c r="B71" s="887" t="s">
        <v>236</v>
      </c>
      <c r="C71" s="153" t="s">
        <v>125</v>
      </c>
      <c r="D71" s="592">
        <v>0</v>
      </c>
      <c r="E71" s="593">
        <v>0</v>
      </c>
      <c r="F71" s="593">
        <v>0</v>
      </c>
      <c r="G71" s="593">
        <v>0</v>
      </c>
      <c r="H71" s="593">
        <v>0</v>
      </c>
      <c r="I71" s="593">
        <v>0</v>
      </c>
      <c r="J71" s="593">
        <v>0</v>
      </c>
      <c r="K71" s="601"/>
    </row>
    <row r="72" spans="1:11" s="2" customFormat="1">
      <c r="A72" s="3">
        <v>20</v>
      </c>
      <c r="B72" s="887" t="s">
        <v>236</v>
      </c>
      <c r="C72" s="153" t="s">
        <v>125</v>
      </c>
      <c r="D72" s="592">
        <v>0</v>
      </c>
      <c r="E72" s="593">
        <v>0</v>
      </c>
      <c r="F72" s="593">
        <v>0</v>
      </c>
      <c r="G72" s="593">
        <v>0</v>
      </c>
      <c r="H72" s="593">
        <v>0</v>
      </c>
      <c r="I72" s="593">
        <v>0</v>
      </c>
      <c r="J72" s="593">
        <v>0</v>
      </c>
      <c r="K72" s="601"/>
    </row>
    <row r="73" spans="1:11" s="2" customFormat="1">
      <c r="A73" s="3">
        <v>21</v>
      </c>
      <c r="B73" s="887" t="s">
        <v>236</v>
      </c>
      <c r="C73" s="153" t="s">
        <v>125</v>
      </c>
      <c r="D73" s="592">
        <v>0</v>
      </c>
      <c r="E73" s="593">
        <v>0</v>
      </c>
      <c r="F73" s="593">
        <v>0</v>
      </c>
      <c r="G73" s="593">
        <v>0</v>
      </c>
      <c r="H73" s="593">
        <v>0</v>
      </c>
      <c r="I73" s="593">
        <v>0</v>
      </c>
      <c r="J73" s="593">
        <v>0</v>
      </c>
      <c r="K73" s="601"/>
    </row>
    <row r="74" spans="1:11" s="2" customFormat="1">
      <c r="A74" s="3">
        <v>22</v>
      </c>
      <c r="B74" s="887" t="s">
        <v>236</v>
      </c>
      <c r="C74" s="153" t="s">
        <v>125</v>
      </c>
      <c r="D74" s="592">
        <v>0</v>
      </c>
      <c r="E74" s="593">
        <v>0</v>
      </c>
      <c r="F74" s="593">
        <v>0</v>
      </c>
      <c r="G74" s="593">
        <v>0</v>
      </c>
      <c r="H74" s="593">
        <v>0</v>
      </c>
      <c r="I74" s="593">
        <v>0</v>
      </c>
      <c r="J74" s="593">
        <v>0</v>
      </c>
      <c r="K74" s="601"/>
    </row>
    <row r="75" spans="1:11" s="2" customFormat="1">
      <c r="A75" s="3">
        <v>23</v>
      </c>
      <c r="B75" s="887" t="s">
        <v>236</v>
      </c>
      <c r="C75" s="153" t="s">
        <v>125</v>
      </c>
      <c r="D75" s="592">
        <v>0</v>
      </c>
      <c r="E75" s="593">
        <v>0</v>
      </c>
      <c r="F75" s="593">
        <v>0</v>
      </c>
      <c r="G75" s="593">
        <v>0</v>
      </c>
      <c r="H75" s="593">
        <v>0</v>
      </c>
      <c r="I75" s="593">
        <v>0</v>
      </c>
      <c r="J75" s="593">
        <v>0</v>
      </c>
      <c r="K75" s="601"/>
    </row>
    <row r="76" spans="1:11" s="2" customFormat="1">
      <c r="A76" s="3">
        <v>24</v>
      </c>
      <c r="B76" s="887" t="s">
        <v>236</v>
      </c>
      <c r="C76" s="153" t="s">
        <v>125</v>
      </c>
      <c r="D76" s="592">
        <v>0</v>
      </c>
      <c r="E76" s="593">
        <v>0</v>
      </c>
      <c r="F76" s="593">
        <v>0</v>
      </c>
      <c r="G76" s="593">
        <v>0</v>
      </c>
      <c r="H76" s="593">
        <v>0</v>
      </c>
      <c r="I76" s="593">
        <v>0</v>
      </c>
      <c r="J76" s="593">
        <v>0</v>
      </c>
      <c r="K76" s="601"/>
    </row>
    <row r="77" spans="1:11" s="2" customFormat="1">
      <c r="A77" s="3">
        <v>25</v>
      </c>
      <c r="B77" s="887" t="s">
        <v>236</v>
      </c>
      <c r="C77" s="153" t="s">
        <v>125</v>
      </c>
      <c r="D77" s="922">
        <v>0</v>
      </c>
      <c r="E77" s="923">
        <v>0</v>
      </c>
      <c r="F77" s="923">
        <v>0</v>
      </c>
      <c r="G77" s="923">
        <v>0</v>
      </c>
      <c r="H77" s="923">
        <v>0</v>
      </c>
      <c r="I77" s="923">
        <v>0</v>
      </c>
      <c r="J77" s="923">
        <v>0</v>
      </c>
      <c r="K77" s="610"/>
    </row>
    <row r="78" spans="1:11" s="2" customFormat="1">
      <c r="B78" s="888" t="s">
        <v>582</v>
      </c>
      <c r="C78" s="153" t="s">
        <v>125</v>
      </c>
      <c r="D78" s="602">
        <f>SUM(D53:D77)</f>
        <v>126.1281637244564</v>
      </c>
      <c r="E78" s="603">
        <f t="shared" ref="E78:K78" si="6">SUM(E53:E77)</f>
        <v>127.21061969079571</v>
      </c>
      <c r="F78" s="603">
        <f t="shared" si="6"/>
        <v>97.157840269398349</v>
      </c>
      <c r="G78" s="603">
        <f t="shared" si="6"/>
        <v>105.45180007347808</v>
      </c>
      <c r="H78" s="603">
        <f t="shared" si="6"/>
        <v>103.08470402381717</v>
      </c>
      <c r="I78" s="603">
        <f t="shared" si="6"/>
        <v>108.66174947179</v>
      </c>
      <c r="J78" s="603">
        <f t="shared" si="6"/>
        <v>102.03475876591148</v>
      </c>
      <c r="K78" s="604">
        <f t="shared" si="6"/>
        <v>0</v>
      </c>
    </row>
    <row r="79" spans="1:11" s="2" customFormat="1">
      <c r="B79" s="888"/>
      <c r="C79" s="137"/>
      <c r="D79" s="53"/>
      <c r="E79" s="52"/>
      <c r="F79" s="52"/>
      <c r="G79" s="52"/>
      <c r="H79" s="52"/>
      <c r="I79" s="52"/>
      <c r="J79" s="52"/>
      <c r="K79" s="52"/>
    </row>
    <row r="80" spans="1:11" s="2" customFormat="1">
      <c r="B80" s="888" t="s">
        <v>583</v>
      </c>
      <c r="C80" s="153" t="s">
        <v>125</v>
      </c>
      <c r="D80" s="602">
        <f>D48-D78</f>
        <v>193.06705033098729</v>
      </c>
      <c r="E80" s="603">
        <f t="shared" ref="E80:K80" si="7">E48-E78</f>
        <v>212.53390837898669</v>
      </c>
      <c r="F80" s="603">
        <f t="shared" si="7"/>
        <v>224.47769035246594</v>
      </c>
      <c r="G80" s="603">
        <f t="shared" si="7"/>
        <v>255.18195312023323</v>
      </c>
      <c r="H80" s="603">
        <f t="shared" si="7"/>
        <v>251.73986174354468</v>
      </c>
      <c r="I80" s="603">
        <f t="shared" si="7"/>
        <v>249.64455643215592</v>
      </c>
      <c r="J80" s="603">
        <f t="shared" si="7"/>
        <v>242.9057714879628</v>
      </c>
      <c r="K80" s="604">
        <f t="shared" si="7"/>
        <v>0</v>
      </c>
    </row>
    <row r="81" spans="2:11" s="2" customFormat="1">
      <c r="B81" s="888" t="s">
        <v>584</v>
      </c>
      <c r="C81" s="153" t="s">
        <v>125</v>
      </c>
      <c r="D81" s="620">
        <f>'R4 - Totex'!D90+'R4 - Totex'!D118</f>
        <v>192.97072315738123</v>
      </c>
      <c r="E81" s="621">
        <f>'R4 - Totex'!E90+'R4 - Totex'!E118</f>
        <v>212.53390837898672</v>
      </c>
      <c r="F81" s="621">
        <f>'R4 - Totex'!F90+'R4 - Totex'!F118</f>
        <v>224.48655142928473</v>
      </c>
      <c r="G81" s="621">
        <f>'R4 - Totex'!G90+'R4 - Totex'!G118</f>
        <v>255.14579954023313</v>
      </c>
      <c r="H81" s="621">
        <f>'R4 - Totex'!H90+'R4 - Totex'!H118</f>
        <v>251.72428441354469</v>
      </c>
      <c r="I81" s="621">
        <f>'R4 - Totex'!I90+'R4 - Totex'!I118</f>
        <v>249.60859392955669</v>
      </c>
      <c r="J81" s="621">
        <f>'R4 - Totex'!J90+'R4 - Totex'!J118</f>
        <v>242.90603170492815</v>
      </c>
      <c r="K81" s="621">
        <f>'R4 - Totex'!K90+'R4 - Totex'!K118</f>
        <v>278.94398584435805</v>
      </c>
    </row>
    <row r="82" spans="2:11" s="2" customFormat="1">
      <c r="C82" s="137" t="s">
        <v>390</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OK</v>
      </c>
      <c r="J82" s="568" t="str">
        <f>IF(J$5="Actuals",IF(ABS(J80-('R4 - Totex'!J90+'R4 - Totex'!J118))&lt;'RFPR cover'!$F$14,"OK","Error"),"N/A")</f>
        <v>OK</v>
      </c>
      <c r="K82" s="568"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81" priority="17">
      <formula>AND(D$5="Actuals",E$5="N/A")</formula>
    </cfRule>
  </conditionalFormatting>
  <conditionalFormatting sqref="D5:K5">
    <cfRule type="expression" dxfId="80" priority="8">
      <formula>AND(D$5="Actuals",E$5="N/A")</formula>
    </cfRule>
  </conditionalFormatting>
  <conditionalFormatting sqref="D80:K80 D82:K82 D23:K23 D9:K9 K10:K14 D10:J17 D18:K19 D26:K46 D53:K78 D48:K50">
    <cfRule type="expression" dxfId="79" priority="3">
      <formula>D$5="N/A"</formula>
    </cfRule>
  </conditionalFormatting>
  <conditionalFormatting sqref="K15:K17">
    <cfRule type="expression" dxfId="78" priority="2">
      <formula>K$5="N/A"</formula>
    </cfRule>
  </conditionalFormatting>
  <conditionalFormatting sqref="D20:K22">
    <cfRule type="expression" dxfId="77"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50" t="s">
        <v>96</v>
      </c>
      <c r="B1" s="872"/>
      <c r="C1" s="279"/>
      <c r="D1" s="257"/>
      <c r="E1" s="257"/>
      <c r="F1" s="257"/>
      <c r="G1" s="257"/>
      <c r="H1" s="257"/>
      <c r="I1" s="258"/>
      <c r="J1" s="258"/>
      <c r="K1" s="259"/>
      <c r="L1" s="259"/>
      <c r="M1" s="259"/>
      <c r="N1" s="259"/>
      <c r="O1" s="364"/>
    </row>
    <row r="2" spans="1:20" s="31" customFormat="1" ht="20.25">
      <c r="A2" s="853" t="str">
        <f>'RFPR cover'!C5</f>
        <v>SPD</v>
      </c>
      <c r="B2" s="866"/>
      <c r="C2" s="135"/>
      <c r="D2" s="29"/>
      <c r="E2" s="29"/>
      <c r="F2" s="29"/>
      <c r="G2" s="29"/>
      <c r="H2" s="29"/>
      <c r="I2" s="27"/>
      <c r="J2" s="27"/>
      <c r="K2" s="27"/>
      <c r="L2" s="27"/>
      <c r="M2" s="27"/>
      <c r="N2" s="27"/>
      <c r="O2" s="124"/>
    </row>
    <row r="3" spans="1:20" s="31" customFormat="1" ht="20.25">
      <c r="A3" s="856">
        <f>'RFPR cover'!C7</f>
        <v>2022</v>
      </c>
      <c r="B3" s="867"/>
      <c r="C3" s="278"/>
      <c r="D3" s="261"/>
      <c r="E3" s="261"/>
      <c r="F3" s="261"/>
      <c r="G3" s="261"/>
      <c r="H3" s="261"/>
      <c r="I3" s="256"/>
      <c r="J3" s="256"/>
      <c r="K3" s="256"/>
      <c r="L3" s="256"/>
      <c r="M3" s="256"/>
      <c r="N3" s="256"/>
      <c r="O3" s="262"/>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20" ht="27.75" customHeight="1">
      <c r="B6" s="729"/>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106</v>
      </c>
      <c r="N6" s="120" t="s">
        <v>303</v>
      </c>
    </row>
    <row r="7" spans="1:20" s="35" customFormat="1">
      <c r="B7" s="730"/>
      <c r="C7" s="159"/>
      <c r="D7" s="58"/>
      <c r="E7" s="58"/>
      <c r="F7" s="58"/>
      <c r="G7" s="58"/>
      <c r="H7" s="58"/>
      <c r="I7" s="58"/>
      <c r="J7" s="58"/>
      <c r="K7" s="58"/>
      <c r="L7" s="58"/>
      <c r="M7" s="58"/>
      <c r="N7" s="58"/>
    </row>
    <row r="8" spans="1:20" s="35" customFormat="1">
      <c r="B8" s="731" t="s">
        <v>381</v>
      </c>
      <c r="C8" s="292"/>
      <c r="D8" s="322"/>
      <c r="E8" s="322"/>
      <c r="F8" s="322"/>
      <c r="G8" s="322"/>
      <c r="H8" s="322"/>
      <c r="I8" s="322"/>
      <c r="J8" s="322"/>
      <c r="K8" s="322"/>
      <c r="L8" s="322"/>
      <c r="M8" s="322"/>
      <c r="N8" s="322"/>
    </row>
    <row r="9" spans="1:20" s="35" customFormat="1">
      <c r="B9" s="730"/>
      <c r="C9" s="159"/>
      <c r="D9" s="58"/>
      <c r="E9" s="58"/>
      <c r="F9" s="58"/>
      <c r="G9" s="58"/>
      <c r="H9" s="58"/>
      <c r="I9" s="58"/>
      <c r="J9" s="58"/>
      <c r="K9" s="58"/>
      <c r="L9" s="58"/>
      <c r="M9" s="58"/>
      <c r="N9" s="58"/>
    </row>
    <row r="10" spans="1:20">
      <c r="A10" s="35"/>
      <c r="B10" s="732" t="str">
        <f>Data!B48</f>
        <v>Totex</v>
      </c>
      <c r="C10" s="151"/>
      <c r="D10" s="82"/>
      <c r="E10" s="82"/>
      <c r="F10" s="82"/>
      <c r="G10" s="82"/>
      <c r="H10" s="82"/>
      <c r="I10" s="82"/>
      <c r="J10" s="82"/>
      <c r="K10" s="82"/>
      <c r="L10" s="82"/>
      <c r="M10" s="82"/>
      <c r="N10" s="82"/>
    </row>
    <row r="11" spans="1:20" s="35" customFormat="1">
      <c r="B11" s="733"/>
      <c r="C11" s="139"/>
      <c r="D11" s="321"/>
      <c r="E11" s="321"/>
      <c r="F11" s="321"/>
      <c r="G11" s="321"/>
      <c r="H11" s="321"/>
      <c r="I11" s="321"/>
      <c r="J11" s="321"/>
      <c r="K11" s="321"/>
      <c r="L11" s="321"/>
      <c r="M11" s="321"/>
      <c r="N11" s="321"/>
    </row>
    <row r="12" spans="1:20">
      <c r="A12" s="35"/>
      <c r="B12" s="306" t="s">
        <v>32</v>
      </c>
      <c r="C12" s="156" t="str">
        <f>'RFPR cover'!$C$14</f>
        <v>£m 12/13</v>
      </c>
      <c r="D12" s="908">
        <v>181.99346917520998</v>
      </c>
      <c r="E12" s="903">
        <v>196.23888280638121</v>
      </c>
      <c r="F12" s="903">
        <v>199.79864889694096</v>
      </c>
      <c r="G12" s="903">
        <v>220.35310863973677</v>
      </c>
      <c r="H12" s="903">
        <v>211.91238461366234</v>
      </c>
      <c r="I12" s="903">
        <v>207.61353899053012</v>
      </c>
      <c r="J12" s="903">
        <v>191.00575797124714</v>
      </c>
      <c r="K12" s="904">
        <v>202.53342453378102</v>
      </c>
      <c r="L12" s="108">
        <f>SUM(D12:INDEX(D12:K12,0,MATCH('RFPR cover'!$C$7,$D$6:$K$6,0)))</f>
        <v>1408.9157910937083</v>
      </c>
      <c r="M12" s="109">
        <f>SUM(D12:K12)</f>
        <v>1611.4492156274894</v>
      </c>
      <c r="N12" s="63"/>
      <c r="O12" s="63"/>
    </row>
    <row r="13" spans="1:20" ht="25.5">
      <c r="A13" s="35"/>
      <c r="B13" s="734" t="s">
        <v>486</v>
      </c>
      <c r="C13" s="156" t="str">
        <f>'RFPR cover'!$C$14</f>
        <v>£m 12/13</v>
      </c>
      <c r="D13" s="909">
        <v>205.07950586366874</v>
      </c>
      <c r="E13" s="906">
        <v>203.90254948286511</v>
      </c>
      <c r="F13" s="906">
        <v>208.61977633175462</v>
      </c>
      <c r="G13" s="906">
        <v>198.17251090858795</v>
      </c>
      <c r="H13" s="906">
        <v>191.2622754140379</v>
      </c>
      <c r="I13" s="906">
        <v>181.95174539422334</v>
      </c>
      <c r="J13" s="906">
        <v>184.81625400450119</v>
      </c>
      <c r="K13" s="907">
        <v>187.4632633395982</v>
      </c>
      <c r="L13" s="106">
        <f>SUM(D13:INDEX(D13:K13,0,MATCH('RFPR cover'!$C$7,$D$6:$K$6,0)))</f>
        <v>1373.8046173996388</v>
      </c>
      <c r="M13" s="107">
        <f>SUM(D13:K13)</f>
        <v>1561.2678807392369</v>
      </c>
      <c r="N13" s="63"/>
      <c r="O13" s="63"/>
    </row>
    <row r="14" spans="1:20">
      <c r="A14" s="35"/>
      <c r="B14" s="735" t="s">
        <v>188</v>
      </c>
      <c r="C14" s="156" t="str">
        <f>'RFPR cover'!$C$14</f>
        <v>£m 12/13</v>
      </c>
      <c r="D14" s="103">
        <f>D13-D12</f>
        <v>23.086036688458762</v>
      </c>
      <c r="E14" s="104">
        <f t="shared" ref="E14:M14" si="1">E13-E12</f>
        <v>7.6636666764838992</v>
      </c>
      <c r="F14" s="104">
        <f t="shared" si="1"/>
        <v>8.8211274348136612</v>
      </c>
      <c r="G14" s="104">
        <f t="shared" si="1"/>
        <v>-22.180597731148822</v>
      </c>
      <c r="H14" s="104">
        <f t="shared" si="1"/>
        <v>-20.650109199624438</v>
      </c>
      <c r="I14" s="104">
        <f t="shared" si="1"/>
        <v>-25.661793596306779</v>
      </c>
      <c r="J14" s="104">
        <f t="shared" si="1"/>
        <v>-6.1895039667459457</v>
      </c>
      <c r="K14" s="104">
        <f t="shared" si="1"/>
        <v>-15.070161194182816</v>
      </c>
      <c r="L14" s="103">
        <f t="shared" si="1"/>
        <v>-35.111173694069521</v>
      </c>
      <c r="M14" s="105">
        <f t="shared" si="1"/>
        <v>-50.181334888252422</v>
      </c>
      <c r="N14" s="63"/>
      <c r="O14" s="1053"/>
      <c r="P14" s="1053"/>
      <c r="Q14" s="1053"/>
      <c r="R14"/>
      <c r="S14"/>
      <c r="T14"/>
    </row>
    <row r="15" spans="1:20">
      <c r="A15" s="35"/>
      <c r="B15" s="735"/>
      <c r="C15" s="156"/>
      <c r="D15" s="59"/>
      <c r="E15" s="59"/>
      <c r="F15" s="59"/>
      <c r="G15" s="59"/>
      <c r="H15" s="59"/>
      <c r="I15" s="59"/>
      <c r="J15" s="59"/>
      <c r="K15" s="59"/>
      <c r="L15" s="59"/>
      <c r="M15" s="59"/>
      <c r="O15" s="64"/>
      <c r="P15" s="64"/>
      <c r="Q15" s="64"/>
      <c r="R15"/>
      <c r="S15"/>
      <c r="T15"/>
    </row>
    <row r="16" spans="1:20">
      <c r="A16" s="35"/>
      <c r="B16" s="729" t="s">
        <v>171</v>
      </c>
      <c r="C16" s="137" t="s">
        <v>7</v>
      </c>
      <c r="D16" s="110">
        <f>1-INDEX(Data!$D$73:$D$100,MATCH('RFPR cover'!$C$5,Data!$B$73:$B$100,0),0)</f>
        <v>0.46499999999999997</v>
      </c>
      <c r="E16" s="111">
        <f>1-INDEX(Data!$D$73:$D$100,MATCH('RFPR cover'!$C$5,Data!$B$73:$B$100,0),0)</f>
        <v>0.46499999999999997</v>
      </c>
      <c r="F16" s="111">
        <f>1-INDEX(Data!$D$73:$D$100,MATCH('RFPR cover'!$C$5,Data!$B$73:$B$100,0),0)</f>
        <v>0.46499999999999997</v>
      </c>
      <c r="G16" s="111">
        <f>1-INDEX(Data!$D$73:$D$100,MATCH('RFPR cover'!$C$5,Data!$B$73:$B$100,0),0)</f>
        <v>0.46499999999999997</v>
      </c>
      <c r="H16" s="111">
        <f>1-INDEX(Data!$D$73:$D$100,MATCH('RFPR cover'!$C$5,Data!$B$73:$B$100,0),0)</f>
        <v>0.46499999999999997</v>
      </c>
      <c r="I16" s="111">
        <f>1-INDEX(Data!$D$73:$D$100,MATCH('RFPR cover'!$C$5,Data!$B$73:$B$100,0),0)</f>
        <v>0.46499999999999997</v>
      </c>
      <c r="J16" s="111">
        <f>1-INDEX(Data!$D$73:$D$100,MATCH('RFPR cover'!$C$5,Data!$B$73:$B$100,0),0)</f>
        <v>0.46499999999999997</v>
      </c>
      <c r="K16" s="112">
        <f>1-INDEX(Data!$D$73:$D$100,MATCH('RFPR cover'!$C$5,Data!$B$73:$B$100,0),0)</f>
        <v>0.46499999999999997</v>
      </c>
      <c r="L16" s="62"/>
      <c r="M16" s="62"/>
      <c r="O16"/>
      <c r="P16"/>
      <c r="Q16"/>
      <c r="R16"/>
      <c r="S16"/>
      <c r="T16"/>
    </row>
    <row r="17" spans="1:20">
      <c r="A17" s="35"/>
      <c r="B17" s="729"/>
      <c r="O17"/>
      <c r="P17"/>
      <c r="Q17"/>
      <c r="R17"/>
      <c r="S17"/>
      <c r="T17"/>
    </row>
    <row r="18" spans="1:20">
      <c r="A18" s="35"/>
      <c r="B18" s="736" t="s">
        <v>176</v>
      </c>
      <c r="C18" s="160" t="str">
        <f>'RFPR cover'!$C$14</f>
        <v>£m 12/13</v>
      </c>
      <c r="D18" s="96">
        <f>D14*D16</f>
        <v>10.735007060133324</v>
      </c>
      <c r="E18" s="97">
        <f t="shared" ref="E18:K18" si="2">E14*E16</f>
        <v>3.5636050045650127</v>
      </c>
      <c r="F18" s="97">
        <f t="shared" si="2"/>
        <v>4.1018242571883521</v>
      </c>
      <c r="G18" s="97">
        <f t="shared" si="2"/>
        <v>-10.313977944984202</v>
      </c>
      <c r="H18" s="97">
        <f t="shared" si="2"/>
        <v>-9.6023007778253628</v>
      </c>
      <c r="I18" s="97">
        <f t="shared" si="2"/>
        <v>-11.932734022282652</v>
      </c>
      <c r="J18" s="97">
        <f t="shared" si="2"/>
        <v>-2.8781193445368647</v>
      </c>
      <c r="K18" s="97">
        <f t="shared" si="2"/>
        <v>-7.0076249552950092</v>
      </c>
      <c r="L18" s="96">
        <f>SUM(D18:INDEX(D18:K18,0,MATCH('RFPR cover'!$C$7,$D$6:$K$6,0)))</f>
        <v>-16.326695767742393</v>
      </c>
      <c r="M18" s="98">
        <f>SUM(D18:K18)</f>
        <v>-23.334320723037401</v>
      </c>
      <c r="O18"/>
      <c r="P18"/>
      <c r="Q18"/>
      <c r="R18"/>
      <c r="S18"/>
      <c r="T18"/>
    </row>
    <row r="19" spans="1:20">
      <c r="A19" s="35"/>
      <c r="B19" s="736" t="s">
        <v>272</v>
      </c>
      <c r="C19" s="160" t="str">
        <f>'RFPR cover'!$C$14</f>
        <v>£m 12/13</v>
      </c>
      <c r="D19" s="93">
        <f>D14*(1-D16)</f>
        <v>12.351029628325438</v>
      </c>
      <c r="E19" s="94">
        <f t="shared" ref="E19:K19" si="3">E14*(1-E16)</f>
        <v>4.100061671918886</v>
      </c>
      <c r="F19" s="94">
        <f t="shared" si="3"/>
        <v>4.7193031776253092</v>
      </c>
      <c r="G19" s="94">
        <f t="shared" si="3"/>
        <v>-11.86661978616462</v>
      </c>
      <c r="H19" s="94">
        <f t="shared" si="3"/>
        <v>-11.047808421799076</v>
      </c>
      <c r="I19" s="94">
        <f t="shared" si="3"/>
        <v>-13.729059574024127</v>
      </c>
      <c r="J19" s="94">
        <f t="shared" si="3"/>
        <v>-3.311384622209081</v>
      </c>
      <c r="K19" s="94">
        <f t="shared" si="3"/>
        <v>-8.062536238887807</v>
      </c>
      <c r="L19" s="93">
        <f>SUM(D19:INDEX(D19:K19,0,MATCH('RFPR cover'!$C$7,$D$6:$K$6,0)))</f>
        <v>-18.78447792632727</v>
      </c>
      <c r="M19" s="95">
        <f>SUM(D19:K19)</f>
        <v>-26.847014165215079</v>
      </c>
      <c r="O19"/>
      <c r="P19"/>
      <c r="Q19"/>
      <c r="R19"/>
      <c r="S19"/>
      <c r="T19"/>
    </row>
    <row r="20" spans="1:20">
      <c r="A20" s="35"/>
      <c r="B20" s="729"/>
      <c r="O20"/>
      <c r="P20"/>
      <c r="Q20"/>
      <c r="R20"/>
      <c r="S20"/>
      <c r="T20"/>
    </row>
    <row r="21" spans="1:20">
      <c r="A21" s="35"/>
      <c r="B21" s="737" t="s">
        <v>175</v>
      </c>
      <c r="N21" s="63"/>
      <c r="O21"/>
      <c r="P21"/>
      <c r="Q21"/>
      <c r="R21"/>
      <c r="S21"/>
      <c r="T21"/>
    </row>
    <row r="22" spans="1:20">
      <c r="A22" s="270" t="s">
        <v>148</v>
      </c>
      <c r="B22" s="727" t="s">
        <v>625</v>
      </c>
      <c r="C22" s="156" t="str">
        <f>'RFPR cover'!$C$14</f>
        <v>£m 12/13</v>
      </c>
      <c r="D22" s="483">
        <v>-23.086036688458762</v>
      </c>
      <c r="E22" s="903">
        <v>-7.6636666764838992</v>
      </c>
      <c r="F22" s="903">
        <v>-8.8211274348136612</v>
      </c>
      <c r="G22" s="903">
        <v>22.166048555645517</v>
      </c>
      <c r="H22" s="903">
        <v>12</v>
      </c>
      <c r="I22" s="903">
        <v>17</v>
      </c>
      <c r="J22" s="903">
        <v>-7.1</v>
      </c>
      <c r="K22" s="904">
        <v>-4.5</v>
      </c>
      <c r="L22" s="580">
        <f>SUM(D22:INDEX(D22:K22,0,MATCH('RFPR cover'!$C$7,$D$6:$K$6,0)))</f>
        <v>4.495217755889195</v>
      </c>
      <c r="M22" s="581">
        <f t="shared" ref="M22:M27" si="4">SUM(D22:K22)</f>
        <v>-4.7822441108049674E-3</v>
      </c>
      <c r="N22" s="569"/>
      <c r="O22"/>
      <c r="P22"/>
      <c r="Q22"/>
      <c r="R22"/>
      <c r="S22"/>
      <c r="T22"/>
    </row>
    <row r="23" spans="1:20">
      <c r="A23" s="270" t="s">
        <v>149</v>
      </c>
      <c r="B23" s="727" t="s">
        <v>235</v>
      </c>
      <c r="C23" s="156" t="str">
        <f>'RFPR cover'!$C$14</f>
        <v>£m 12/13</v>
      </c>
      <c r="D23" s="902">
        <v>0</v>
      </c>
      <c r="E23" s="910">
        <v>0</v>
      </c>
      <c r="F23" s="910">
        <v>0</v>
      </c>
      <c r="G23" s="910">
        <v>0</v>
      </c>
      <c r="H23" s="910">
        <v>0</v>
      </c>
      <c r="I23" s="910">
        <v>0</v>
      </c>
      <c r="J23" s="910">
        <v>0</v>
      </c>
      <c r="K23" s="911">
        <v>0</v>
      </c>
      <c r="L23" s="584">
        <f>SUM(D23:INDEX(D23:K23,0,MATCH('RFPR cover'!$C$7,$D$6:$K$6,0)))</f>
        <v>0</v>
      </c>
      <c r="M23" s="585">
        <f t="shared" si="4"/>
        <v>0</v>
      </c>
      <c r="N23" s="570"/>
      <c r="O23"/>
      <c r="P23"/>
      <c r="Q23"/>
      <c r="R23"/>
      <c r="S23"/>
      <c r="T23"/>
    </row>
    <row r="24" spans="1:20">
      <c r="A24" s="270" t="s">
        <v>150</v>
      </c>
      <c r="B24" s="727" t="s">
        <v>235</v>
      </c>
      <c r="C24" s="156" t="str">
        <f>'RFPR cover'!$C$14</f>
        <v>£m 12/13</v>
      </c>
      <c r="D24" s="902">
        <v>0</v>
      </c>
      <c r="E24" s="910">
        <v>0</v>
      </c>
      <c r="F24" s="910">
        <v>0</v>
      </c>
      <c r="G24" s="910">
        <v>0</v>
      </c>
      <c r="H24" s="910">
        <v>0</v>
      </c>
      <c r="I24" s="910">
        <v>0</v>
      </c>
      <c r="J24" s="910">
        <v>0</v>
      </c>
      <c r="K24" s="911">
        <v>0</v>
      </c>
      <c r="L24" s="584">
        <f>SUM(D24:INDEX(D24:K24,0,MATCH('RFPR cover'!$C$7,$D$6:$K$6,0)))</f>
        <v>0</v>
      </c>
      <c r="M24" s="585">
        <f t="shared" si="4"/>
        <v>0</v>
      </c>
      <c r="N24" s="570"/>
      <c r="O24"/>
      <c r="P24"/>
      <c r="Q24"/>
      <c r="R24"/>
      <c r="S24" s="65"/>
      <c r="T24"/>
    </row>
    <row r="25" spans="1:20">
      <c r="A25" s="270" t="s">
        <v>162</v>
      </c>
      <c r="B25" s="727" t="s">
        <v>235</v>
      </c>
      <c r="C25" s="156" t="str">
        <f>'RFPR cover'!$C$14</f>
        <v>£m 12/13</v>
      </c>
      <c r="D25" s="902">
        <v>0</v>
      </c>
      <c r="E25" s="910">
        <v>0</v>
      </c>
      <c r="F25" s="910">
        <v>0</v>
      </c>
      <c r="G25" s="910">
        <v>0</v>
      </c>
      <c r="H25" s="910">
        <v>0</v>
      </c>
      <c r="I25" s="910">
        <v>0</v>
      </c>
      <c r="J25" s="910">
        <v>0</v>
      </c>
      <c r="K25" s="911">
        <v>0</v>
      </c>
      <c r="L25" s="584">
        <f>SUM(D25:INDEX(D25:K25,0,MATCH('RFPR cover'!$C$7,$D$6:$K$6,0)))</f>
        <v>0</v>
      </c>
      <c r="M25" s="585">
        <f t="shared" si="4"/>
        <v>0</v>
      </c>
      <c r="N25" s="570"/>
      <c r="O25"/>
      <c r="P25"/>
      <c r="Q25"/>
      <c r="R25"/>
      <c r="S25"/>
      <c r="T25"/>
    </row>
    <row r="26" spans="1:20">
      <c r="A26" s="270" t="s">
        <v>163</v>
      </c>
      <c r="B26" s="727" t="s">
        <v>235</v>
      </c>
      <c r="C26" s="156" t="str">
        <f>'RFPR cover'!$C$14</f>
        <v>£m 12/13</v>
      </c>
      <c r="D26" s="902">
        <v>0</v>
      </c>
      <c r="E26" s="910">
        <v>0</v>
      </c>
      <c r="F26" s="910">
        <v>0</v>
      </c>
      <c r="G26" s="910">
        <v>0</v>
      </c>
      <c r="H26" s="910">
        <v>0</v>
      </c>
      <c r="I26" s="910">
        <v>0</v>
      </c>
      <c r="J26" s="910">
        <v>0</v>
      </c>
      <c r="K26" s="911">
        <v>0</v>
      </c>
      <c r="L26" s="584">
        <f>SUM(D26:INDEX(D26:K26,0,MATCH('RFPR cover'!$C$7,$D$6:$K$6,0)))</f>
        <v>0</v>
      </c>
      <c r="M26" s="585">
        <f t="shared" si="4"/>
        <v>0</v>
      </c>
      <c r="N26" s="570"/>
      <c r="O26"/>
      <c r="P26"/>
      <c r="Q26"/>
      <c r="R26"/>
      <c r="S26"/>
      <c r="T26"/>
    </row>
    <row r="27" spans="1:20">
      <c r="A27" s="270" t="s">
        <v>164</v>
      </c>
      <c r="B27" s="727" t="s">
        <v>235</v>
      </c>
      <c r="C27" s="156" t="str">
        <f>'RFPR cover'!$C$14</f>
        <v>£m 12/13</v>
      </c>
      <c r="D27" s="905">
        <v>0</v>
      </c>
      <c r="E27" s="906">
        <v>0</v>
      </c>
      <c r="F27" s="906">
        <v>0</v>
      </c>
      <c r="G27" s="906">
        <v>0</v>
      </c>
      <c r="H27" s="906">
        <v>0</v>
      </c>
      <c r="I27" s="906">
        <v>0</v>
      </c>
      <c r="J27" s="906">
        <v>0</v>
      </c>
      <c r="K27" s="907">
        <v>0</v>
      </c>
      <c r="L27" s="588">
        <f>SUM(D27:INDEX(D27:K27,0,MATCH('RFPR cover'!$C$7,$D$6:$K$6,0)))</f>
        <v>0</v>
      </c>
      <c r="M27" s="589">
        <f t="shared" si="4"/>
        <v>0</v>
      </c>
      <c r="N27" s="571"/>
      <c r="O27"/>
      <c r="P27"/>
      <c r="Q27"/>
      <c r="R27"/>
      <c r="S27"/>
      <c r="T27"/>
    </row>
    <row r="28" spans="1:20">
      <c r="A28" s="35"/>
      <c r="B28" s="737" t="s">
        <v>183</v>
      </c>
      <c r="C28" s="156" t="str">
        <f>'RFPR cover'!$C$14</f>
        <v>£m 12/13</v>
      </c>
      <c r="D28" s="103">
        <f>SUM(D22:D27)</f>
        <v>-23.086036688458762</v>
      </c>
      <c r="E28" s="104">
        <f t="shared" ref="E28:K28" si="5">SUM(E22:E27)</f>
        <v>-7.6636666764838992</v>
      </c>
      <c r="F28" s="104">
        <f t="shared" si="5"/>
        <v>-8.8211274348136612</v>
      </c>
      <c r="G28" s="104">
        <f t="shared" si="5"/>
        <v>22.166048555645517</v>
      </c>
      <c r="H28" s="104">
        <f t="shared" si="5"/>
        <v>12</v>
      </c>
      <c r="I28" s="104">
        <f t="shared" si="5"/>
        <v>17</v>
      </c>
      <c r="J28" s="104">
        <f t="shared" si="5"/>
        <v>-7.1</v>
      </c>
      <c r="K28" s="104">
        <f t="shared" si="5"/>
        <v>-4.5</v>
      </c>
      <c r="L28" s="103">
        <f>SUM(D28:INDEX(D28:K28,0,MATCH('RFPR cover'!$C$7,$D$6:$K$6,0)))</f>
        <v>4.495217755889195</v>
      </c>
      <c r="M28" s="105">
        <f>SUM(D28:K28)</f>
        <v>-4.7822441108049674E-3</v>
      </c>
      <c r="N28" s="63"/>
    </row>
    <row r="29" spans="1:20">
      <c r="A29" s="35"/>
      <c r="B29" s="729"/>
    </row>
    <row r="30" spans="1:20">
      <c r="A30" s="35"/>
      <c r="B30" s="736" t="s">
        <v>191</v>
      </c>
      <c r="C30" s="160" t="str">
        <f>'RFPR cover'!$C$14</f>
        <v>£m 12/13</v>
      </c>
      <c r="D30" s="96">
        <f t="shared" ref="D30:K30" si="6">D28*D16</f>
        <v>-10.735007060133324</v>
      </c>
      <c r="E30" s="97">
        <f t="shared" si="6"/>
        <v>-3.5636050045650127</v>
      </c>
      <c r="F30" s="97">
        <f t="shared" si="6"/>
        <v>-4.1018242571883521</v>
      </c>
      <c r="G30" s="97">
        <f t="shared" si="6"/>
        <v>10.307212578375164</v>
      </c>
      <c r="H30" s="97">
        <f t="shared" si="6"/>
        <v>5.58</v>
      </c>
      <c r="I30" s="97">
        <f t="shared" si="6"/>
        <v>7.9049999999999994</v>
      </c>
      <c r="J30" s="97">
        <f t="shared" si="6"/>
        <v>-3.3014999999999994</v>
      </c>
      <c r="K30" s="97">
        <f t="shared" si="6"/>
        <v>-2.0924999999999998</v>
      </c>
      <c r="L30" s="96">
        <f>SUM(D30:INDEX(D30:K30,0,MATCH('RFPR cover'!$C$7,$D$6:$K$6,0)))</f>
        <v>2.0902762564884774</v>
      </c>
      <c r="M30" s="98">
        <f>SUM(D30:K30)</f>
        <v>-2.2237435115224358E-3</v>
      </c>
    </row>
    <row r="31" spans="1:20">
      <c r="A31" s="35"/>
      <c r="B31" s="736" t="s">
        <v>301</v>
      </c>
      <c r="C31" s="160" t="str">
        <f>'RFPR cover'!$C$14</f>
        <v>£m 12/13</v>
      </c>
      <c r="D31" s="93">
        <f t="shared" ref="D31:K31" si="7">D28*(1-D16)</f>
        <v>-12.351029628325438</v>
      </c>
      <c r="E31" s="94">
        <f t="shared" si="7"/>
        <v>-4.100061671918886</v>
      </c>
      <c r="F31" s="94">
        <f t="shared" si="7"/>
        <v>-4.7193031776253092</v>
      </c>
      <c r="G31" s="94">
        <f t="shared" si="7"/>
        <v>11.858835977270353</v>
      </c>
      <c r="H31" s="94">
        <f t="shared" si="7"/>
        <v>6.42</v>
      </c>
      <c r="I31" s="94">
        <f t="shared" si="7"/>
        <v>9.0950000000000006</v>
      </c>
      <c r="J31" s="94">
        <f t="shared" si="7"/>
        <v>-3.7985000000000002</v>
      </c>
      <c r="K31" s="94">
        <f t="shared" si="7"/>
        <v>-2.4075000000000002</v>
      </c>
      <c r="L31" s="93">
        <f>SUM(D31:INDEX(D31:K31,0,MATCH('RFPR cover'!$C$7,$D$6:$K$6,0)))</f>
        <v>2.4049414994007177</v>
      </c>
      <c r="M31" s="95">
        <f>SUM(D31:K31)</f>
        <v>-2.5585005992825316E-3</v>
      </c>
    </row>
    <row r="32" spans="1:20">
      <c r="A32" s="35"/>
      <c r="B32" s="729"/>
    </row>
    <row r="33" spans="1:20">
      <c r="A33" s="35"/>
      <c r="B33" s="737" t="s">
        <v>174</v>
      </c>
    </row>
    <row r="34" spans="1:20">
      <c r="A34" s="35"/>
      <c r="B34" s="729" t="s">
        <v>173</v>
      </c>
      <c r="C34" s="156" t="str">
        <f>'RFPR cover'!$C$14</f>
        <v>£m 12/13</v>
      </c>
      <c r="D34" s="96">
        <f>D18+D30</f>
        <v>0</v>
      </c>
      <c r="E34" s="97">
        <f t="shared" ref="E34:K34" si="8">E18+E30</f>
        <v>0</v>
      </c>
      <c r="F34" s="97">
        <f t="shared" si="8"/>
        <v>0</v>
      </c>
      <c r="G34" s="97">
        <f t="shared" si="8"/>
        <v>-6.7653666090379261E-3</v>
      </c>
      <c r="H34" s="97">
        <f t="shared" si="8"/>
        <v>-4.0223007778253628</v>
      </c>
      <c r="I34" s="97">
        <f t="shared" si="8"/>
        <v>-4.0277340222826528</v>
      </c>
      <c r="J34" s="97">
        <f t="shared" si="8"/>
        <v>-6.1796193445368637</v>
      </c>
      <c r="K34" s="97">
        <f t="shared" si="8"/>
        <v>-9.1001249552950085</v>
      </c>
      <c r="L34" s="96">
        <f>SUM(D34:INDEX(D34:K34,0,MATCH('RFPR cover'!$C$7,$D$6:$K$6,0)))</f>
        <v>-14.236419511253917</v>
      </c>
      <c r="M34" s="98">
        <f>SUM(D34:K34)</f>
        <v>-23.336544466548926</v>
      </c>
    </row>
    <row r="35" spans="1:20">
      <c r="A35" s="35"/>
      <c r="B35" s="729" t="s">
        <v>272</v>
      </c>
      <c r="C35" s="156" t="str">
        <f>'RFPR cover'!$C$14</f>
        <v>£m 12/13</v>
      </c>
      <c r="D35" s="99">
        <f>D19+D31</f>
        <v>0</v>
      </c>
      <c r="E35" s="100">
        <f t="shared" ref="E35:K35" si="9">E19+E31</f>
        <v>0</v>
      </c>
      <c r="F35" s="100">
        <f t="shared" si="9"/>
        <v>0</v>
      </c>
      <c r="G35" s="100">
        <f t="shared" si="9"/>
        <v>-7.783808894266997E-3</v>
      </c>
      <c r="H35" s="100">
        <f t="shared" si="9"/>
        <v>-4.6278084217990756</v>
      </c>
      <c r="I35" s="100">
        <f t="shared" si="9"/>
        <v>-4.6340595740241266</v>
      </c>
      <c r="J35" s="100">
        <f t="shared" si="9"/>
        <v>-7.1098846222090817</v>
      </c>
      <c r="K35" s="100">
        <f t="shared" si="9"/>
        <v>-10.470036238887808</v>
      </c>
      <c r="L35" s="99">
        <f>SUM(D35:INDEX(D35:K35,0,MATCH('RFPR cover'!$C$7,$D$6:$K$6,0)))</f>
        <v>-16.379536426926549</v>
      </c>
      <c r="M35" s="101">
        <f>SUM(D35:K35)</f>
        <v>-26.849572665814357</v>
      </c>
    </row>
    <row r="36" spans="1:20">
      <c r="A36" s="35"/>
      <c r="B36" s="737" t="s">
        <v>11</v>
      </c>
      <c r="C36" s="157" t="str">
        <f>'RFPR cover'!$C$14</f>
        <v>£m 12/13</v>
      </c>
      <c r="D36" s="140">
        <f>SUM(D34:D35)</f>
        <v>0</v>
      </c>
      <c r="E36" s="141">
        <f t="shared" ref="E36:K36" si="10">SUM(E34:E35)</f>
        <v>0</v>
      </c>
      <c r="F36" s="141">
        <f t="shared" si="10"/>
        <v>0</v>
      </c>
      <c r="G36" s="141">
        <f t="shared" si="10"/>
        <v>-1.4549175503304923E-2</v>
      </c>
      <c r="H36" s="141">
        <f t="shared" si="10"/>
        <v>-8.6501091996244384</v>
      </c>
      <c r="I36" s="141">
        <f t="shared" si="10"/>
        <v>-8.6617935963067794</v>
      </c>
      <c r="J36" s="141">
        <f t="shared" si="10"/>
        <v>-13.289503966745945</v>
      </c>
      <c r="K36" s="141">
        <f t="shared" si="10"/>
        <v>-19.570161194182816</v>
      </c>
      <c r="L36" s="140">
        <f>SUM(D36:INDEX(D36:K36,0,MATCH('RFPR cover'!$C$7,$D$6:$K$6,0)))</f>
        <v>-30.61595593818047</v>
      </c>
      <c r="M36" s="142">
        <f>SUM(D36:K36)</f>
        <v>-50.186117132363286</v>
      </c>
    </row>
    <row r="37" spans="1:20">
      <c r="A37" s="35"/>
      <c r="B37" s="729"/>
    </row>
    <row r="38" spans="1:20">
      <c r="A38" s="35"/>
      <c r="B38" s="732" t="str">
        <f>Data!B51</f>
        <v>n/a</v>
      </c>
      <c r="C38" s="151"/>
      <c r="D38" s="82"/>
      <c r="E38" s="82"/>
      <c r="F38" s="82"/>
      <c r="G38" s="82"/>
      <c r="H38" s="82"/>
      <c r="I38" s="82"/>
      <c r="J38" s="82"/>
      <c r="K38" s="82"/>
      <c r="L38" s="82"/>
      <c r="M38" s="82"/>
      <c r="N38" s="82"/>
    </row>
    <row r="39" spans="1:20" s="35" customFormat="1">
      <c r="B39" s="730"/>
      <c r="C39" s="139"/>
      <c r="D39" s="321"/>
      <c r="E39" s="321"/>
      <c r="F39" s="321"/>
      <c r="G39" s="321"/>
      <c r="H39" s="321"/>
      <c r="I39" s="321"/>
      <c r="J39" s="321"/>
      <c r="K39" s="321"/>
      <c r="L39" s="321"/>
      <c r="M39" s="321"/>
      <c r="N39" s="321"/>
    </row>
    <row r="40" spans="1:20">
      <c r="A40" s="35"/>
      <c r="B40" s="306" t="s">
        <v>32</v>
      </c>
      <c r="C40" s="156" t="str">
        <f>'RFPR cover'!$C$14</f>
        <v>£m 12/13</v>
      </c>
      <c r="D40" s="625"/>
      <c r="E40" s="626"/>
      <c r="F40" s="626"/>
      <c r="G40" s="626"/>
      <c r="H40" s="626"/>
      <c r="I40" s="626"/>
      <c r="J40" s="626"/>
      <c r="K40" s="626"/>
      <c r="L40" s="627">
        <f>SUM(D40:INDEX(D40:K40,0,MATCH('RFPR cover'!$C$7,$D$6:$K$6,0)))</f>
        <v>0</v>
      </c>
      <c r="M40" s="628">
        <f>SUM(D40:K40)</f>
        <v>0</v>
      </c>
      <c r="N40" s="353"/>
      <c r="O40" s="63"/>
    </row>
    <row r="41" spans="1:20" ht="25.5">
      <c r="A41" s="35"/>
      <c r="B41" s="734" t="s">
        <v>486</v>
      </c>
      <c r="C41" s="156" t="str">
        <f>'RFPR cover'!$C$14</f>
        <v>£m 12/13</v>
      </c>
      <c r="D41" s="629"/>
      <c r="E41" s="630"/>
      <c r="F41" s="630"/>
      <c r="G41" s="630"/>
      <c r="H41" s="630"/>
      <c r="I41" s="630"/>
      <c r="J41" s="630"/>
      <c r="K41" s="630"/>
      <c r="L41" s="631">
        <f>SUM(D41:INDEX(D41:K41,0,MATCH('RFPR cover'!$C$7,$D$6:$K$6,0)))</f>
        <v>0</v>
      </c>
      <c r="M41" s="632">
        <f>SUM(D41:K41)</f>
        <v>0</v>
      </c>
      <c r="N41" s="353"/>
      <c r="O41" s="63"/>
    </row>
    <row r="42" spans="1:20">
      <c r="A42" s="35"/>
      <c r="B42" s="735" t="s">
        <v>188</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1053"/>
      <c r="P42" s="1053"/>
      <c r="Q42" s="1053"/>
      <c r="R42"/>
      <c r="S42"/>
      <c r="T42"/>
    </row>
    <row r="43" spans="1:20">
      <c r="A43" s="35"/>
      <c r="B43" s="735"/>
      <c r="C43" s="156"/>
      <c r="D43" s="59"/>
      <c r="E43" s="59"/>
      <c r="F43" s="59"/>
      <c r="G43" s="59"/>
      <c r="H43" s="59"/>
      <c r="I43" s="59"/>
      <c r="J43" s="59"/>
      <c r="K43" s="59"/>
      <c r="L43" s="59"/>
      <c r="M43" s="59"/>
      <c r="N43" s="350"/>
      <c r="O43" s="64"/>
      <c r="P43" s="64"/>
      <c r="Q43" s="64"/>
      <c r="R43"/>
      <c r="S43"/>
      <c r="T43"/>
    </row>
    <row r="44" spans="1:20">
      <c r="A44" s="35"/>
      <c r="B44" s="729" t="s">
        <v>171</v>
      </c>
      <c r="C44" s="137" t="s">
        <v>7</v>
      </c>
      <c r="D44" s="110">
        <f>1-INDEX(Data!$D$73:$D$100,MATCH('RFPR cover'!$C$5,Data!$B$73:$B$100,0),0)</f>
        <v>0.46499999999999997</v>
      </c>
      <c r="E44" s="111">
        <f>1-INDEX(Data!$D$73:$D$100,MATCH('RFPR cover'!$C$5,Data!$B$73:$B$100,0),0)</f>
        <v>0.46499999999999997</v>
      </c>
      <c r="F44" s="111">
        <f>1-INDEX(Data!$D$73:$D$100,MATCH('RFPR cover'!$C$5,Data!$B$73:$B$100,0),0)</f>
        <v>0.46499999999999997</v>
      </c>
      <c r="G44" s="111">
        <f>1-INDEX(Data!$D$73:$D$100,MATCH('RFPR cover'!$C$5,Data!$B$73:$B$100,0),0)</f>
        <v>0.46499999999999997</v>
      </c>
      <c r="H44" s="111">
        <f>1-INDEX(Data!$D$73:$D$100,MATCH('RFPR cover'!$C$5,Data!$B$73:$B$100,0),0)</f>
        <v>0.46499999999999997</v>
      </c>
      <c r="I44" s="111">
        <f>1-INDEX(Data!$D$73:$D$100,MATCH('RFPR cover'!$C$5,Data!$B$73:$B$100,0),0)</f>
        <v>0.46499999999999997</v>
      </c>
      <c r="J44" s="111">
        <f>1-INDEX(Data!$D$73:$D$100,MATCH('RFPR cover'!$C$5,Data!$B$73:$B$100,0),0)</f>
        <v>0.46499999999999997</v>
      </c>
      <c r="K44" s="112">
        <f>1-INDEX(Data!$D$73:$D$100,MATCH('RFPR cover'!$C$5,Data!$B$73:$B$100,0),0)</f>
        <v>0.46499999999999997</v>
      </c>
      <c r="L44" s="62"/>
      <c r="M44" s="62"/>
      <c r="N44" s="351"/>
      <c r="O44"/>
      <c r="P44"/>
      <c r="Q44"/>
      <c r="R44"/>
      <c r="S44"/>
      <c r="T44"/>
    </row>
    <row r="45" spans="1:20">
      <c r="A45" s="35"/>
      <c r="B45" s="729"/>
      <c r="N45" s="352"/>
      <c r="O45"/>
      <c r="P45"/>
      <c r="Q45"/>
      <c r="R45"/>
      <c r="S45"/>
      <c r="T45"/>
    </row>
    <row r="46" spans="1:20">
      <c r="A46" s="35"/>
      <c r="B46" s="736" t="s">
        <v>176</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2">
        <f>SUM(D46:K46)</f>
        <v>0</v>
      </c>
      <c r="N46" s="354"/>
      <c r="O46"/>
      <c r="P46"/>
      <c r="Q46"/>
      <c r="R46"/>
      <c r="S46"/>
      <c r="T46"/>
    </row>
    <row r="47" spans="1:20">
      <c r="A47" s="35"/>
      <c r="B47" s="736" t="s">
        <v>272</v>
      </c>
      <c r="C47" s="160"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54"/>
      <c r="O47"/>
      <c r="P47"/>
      <c r="Q47"/>
      <c r="R47"/>
      <c r="S47"/>
      <c r="T47"/>
    </row>
    <row r="48" spans="1:20">
      <c r="A48" s="35"/>
      <c r="B48" s="729"/>
      <c r="N48" s="352"/>
      <c r="O48"/>
      <c r="P48"/>
      <c r="Q48"/>
      <c r="R48"/>
      <c r="S48"/>
      <c r="T48"/>
    </row>
    <row r="49" spans="1:20">
      <c r="A49" s="35"/>
      <c r="B49" s="737" t="s">
        <v>175</v>
      </c>
      <c r="N49" s="352"/>
      <c r="O49"/>
      <c r="P49"/>
      <c r="Q49"/>
      <c r="R49"/>
      <c r="S49"/>
      <c r="T49"/>
    </row>
    <row r="50" spans="1:20">
      <c r="A50" s="270" t="s">
        <v>148</v>
      </c>
      <c r="B50" s="727" t="s">
        <v>235</v>
      </c>
      <c r="C50" s="156" t="str">
        <f>'RFPR cover'!$C$14</f>
        <v>£m 12/13</v>
      </c>
      <c r="D50" s="578"/>
      <c r="E50" s="579"/>
      <c r="F50" s="579"/>
      <c r="G50" s="579"/>
      <c r="H50" s="579"/>
      <c r="I50" s="579"/>
      <c r="J50" s="579"/>
      <c r="K50" s="579"/>
      <c r="L50" s="633">
        <f>SUM(D50:INDEX(D50:K50,0,MATCH('RFPR cover'!$C$7,$D$6:$K$6,0)))</f>
        <v>0</v>
      </c>
      <c r="M50" s="634">
        <f t="shared" ref="M50:M56" si="14">SUM(D50:K50)</f>
        <v>0</v>
      </c>
      <c r="N50" s="569"/>
      <c r="O50"/>
      <c r="P50"/>
      <c r="Q50"/>
      <c r="R50"/>
      <c r="S50"/>
      <c r="T50"/>
    </row>
    <row r="51" spans="1:20">
      <c r="A51" s="270" t="s">
        <v>149</v>
      </c>
      <c r="B51" s="727" t="s">
        <v>235</v>
      </c>
      <c r="C51" s="156" t="str">
        <f>'RFPR cover'!$C$14</f>
        <v>£m 12/13</v>
      </c>
      <c r="D51" s="582"/>
      <c r="E51" s="583"/>
      <c r="F51" s="583"/>
      <c r="G51" s="583"/>
      <c r="H51" s="583"/>
      <c r="I51" s="583"/>
      <c r="J51" s="583"/>
      <c r="K51" s="583"/>
      <c r="L51" s="635">
        <f>SUM(D51:INDEX(D51:K51,0,MATCH('RFPR cover'!$C$7,$D$6:$K$6,0)))</f>
        <v>0</v>
      </c>
      <c r="M51" s="636">
        <f t="shared" si="14"/>
        <v>0</v>
      </c>
      <c r="N51" s="570"/>
      <c r="O51"/>
      <c r="P51"/>
      <c r="Q51"/>
      <c r="R51"/>
      <c r="S51"/>
      <c r="T51"/>
    </row>
    <row r="52" spans="1:20">
      <c r="A52" s="270" t="s">
        <v>150</v>
      </c>
      <c r="B52" s="727" t="s">
        <v>235</v>
      </c>
      <c r="C52" s="156" t="str">
        <f>'RFPR cover'!$C$14</f>
        <v>£m 12/13</v>
      </c>
      <c r="D52" s="582"/>
      <c r="E52" s="583"/>
      <c r="F52" s="583"/>
      <c r="G52" s="583"/>
      <c r="H52" s="583"/>
      <c r="I52" s="583"/>
      <c r="J52" s="583"/>
      <c r="K52" s="583"/>
      <c r="L52" s="635">
        <f>SUM(D52:INDEX(D52:K52,0,MATCH('RFPR cover'!$C$7,$D$6:$K$6,0)))</f>
        <v>0</v>
      </c>
      <c r="M52" s="636">
        <f t="shared" si="14"/>
        <v>0</v>
      </c>
      <c r="N52" s="570"/>
      <c r="O52"/>
      <c r="P52"/>
      <c r="Q52"/>
      <c r="R52"/>
      <c r="S52" s="65"/>
      <c r="T52"/>
    </row>
    <row r="53" spans="1:20">
      <c r="A53" s="270" t="s">
        <v>162</v>
      </c>
      <c r="B53" s="727" t="s">
        <v>235</v>
      </c>
      <c r="C53" s="156" t="str">
        <f>'RFPR cover'!$C$14</f>
        <v>£m 12/13</v>
      </c>
      <c r="D53" s="582"/>
      <c r="E53" s="583"/>
      <c r="F53" s="583"/>
      <c r="G53" s="583"/>
      <c r="H53" s="583"/>
      <c r="I53" s="583"/>
      <c r="J53" s="583"/>
      <c r="K53" s="583"/>
      <c r="L53" s="635">
        <f>SUM(D53:INDEX(D53:K53,0,MATCH('RFPR cover'!$C$7,$D$6:$K$6,0)))</f>
        <v>0</v>
      </c>
      <c r="M53" s="636">
        <f t="shared" si="14"/>
        <v>0</v>
      </c>
      <c r="N53" s="570"/>
      <c r="O53"/>
      <c r="P53"/>
      <c r="Q53"/>
      <c r="R53"/>
      <c r="S53"/>
      <c r="T53"/>
    </row>
    <row r="54" spans="1:20">
      <c r="A54" s="270" t="s">
        <v>163</v>
      </c>
      <c r="B54" s="727" t="s">
        <v>235</v>
      </c>
      <c r="C54" s="156" t="str">
        <f>'RFPR cover'!$C$14</f>
        <v>£m 12/13</v>
      </c>
      <c r="D54" s="582"/>
      <c r="E54" s="583"/>
      <c r="F54" s="583"/>
      <c r="G54" s="583"/>
      <c r="H54" s="583"/>
      <c r="I54" s="583"/>
      <c r="J54" s="583"/>
      <c r="K54" s="583"/>
      <c r="L54" s="635">
        <f>SUM(D54:INDEX(D54:K54,0,MATCH('RFPR cover'!$C$7,$D$6:$K$6,0)))</f>
        <v>0</v>
      </c>
      <c r="M54" s="636">
        <f t="shared" si="14"/>
        <v>0</v>
      </c>
      <c r="N54" s="570"/>
      <c r="O54"/>
      <c r="P54"/>
      <c r="Q54"/>
      <c r="R54"/>
      <c r="S54"/>
      <c r="T54"/>
    </row>
    <row r="55" spans="1:20">
      <c r="A55" s="270" t="s">
        <v>164</v>
      </c>
      <c r="B55" s="727" t="s">
        <v>235</v>
      </c>
      <c r="C55" s="156" t="str">
        <f>'RFPR cover'!$C$14</f>
        <v>£m 12/13</v>
      </c>
      <c r="D55" s="586"/>
      <c r="E55" s="587"/>
      <c r="F55" s="587"/>
      <c r="G55" s="587"/>
      <c r="H55" s="587"/>
      <c r="I55" s="587"/>
      <c r="J55" s="587"/>
      <c r="K55" s="587"/>
      <c r="L55" s="637">
        <f>SUM(D55:INDEX(D55:K55,0,MATCH('RFPR cover'!$C$7,$D$6:$K$6,0)))</f>
        <v>0</v>
      </c>
      <c r="M55" s="638">
        <f t="shared" si="14"/>
        <v>0</v>
      </c>
      <c r="N55" s="571"/>
      <c r="O55"/>
      <c r="P55"/>
      <c r="Q55"/>
      <c r="R55"/>
      <c r="S55"/>
      <c r="T55"/>
    </row>
    <row r="56" spans="1:20">
      <c r="A56" s="35"/>
      <c r="B56" s="737" t="s">
        <v>183</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29"/>
      <c r="N57" s="352"/>
    </row>
    <row r="58" spans="1:20">
      <c r="A58" s="35"/>
      <c r="B58" s="736" t="s">
        <v>191</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2">
        <f>SUM(D58:K58)</f>
        <v>0</v>
      </c>
      <c r="N58" s="354"/>
    </row>
    <row r="59" spans="1:20">
      <c r="A59" s="35"/>
      <c r="B59" s="736" t="s">
        <v>301</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73">
        <f>SUM(D59:K59)</f>
        <v>0</v>
      </c>
      <c r="N59" s="354"/>
    </row>
    <row r="60" spans="1:20">
      <c r="A60" s="35"/>
      <c r="B60" s="729"/>
      <c r="N60" s="352"/>
    </row>
    <row r="61" spans="1:20">
      <c r="A61" s="35"/>
      <c r="B61" s="737" t="s">
        <v>174</v>
      </c>
      <c r="N61" s="352"/>
    </row>
    <row r="62" spans="1:20">
      <c r="A62" s="35"/>
      <c r="B62" s="729" t="s">
        <v>173</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2">
        <f>SUM(D62:K62)</f>
        <v>0</v>
      </c>
      <c r="N62" s="354"/>
    </row>
    <row r="63" spans="1:20">
      <c r="A63" s="35"/>
      <c r="B63" s="729" t="s">
        <v>272</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73">
        <f>SUM(D63:K63)</f>
        <v>0</v>
      </c>
      <c r="N63" s="354"/>
    </row>
    <row r="64" spans="1:20">
      <c r="A64" s="35"/>
      <c r="B64" s="737"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37"/>
      <c r="C65" s="157"/>
      <c r="D65" s="157"/>
      <c r="E65" s="157"/>
      <c r="F65" s="157"/>
      <c r="G65" s="157"/>
      <c r="H65" s="157"/>
      <c r="I65" s="157"/>
      <c r="J65" s="157"/>
      <c r="K65" s="157"/>
      <c r="L65" s="157"/>
      <c r="M65" s="157"/>
    </row>
    <row r="66" spans="1:20">
      <c r="A66" s="35"/>
      <c r="B66" s="732" t="s">
        <v>250</v>
      </c>
      <c r="C66" s="151"/>
      <c r="D66" s="82"/>
      <c r="E66" s="82"/>
      <c r="F66" s="82"/>
      <c r="G66" s="82"/>
      <c r="H66" s="82"/>
      <c r="I66" s="82"/>
      <c r="J66" s="82"/>
      <c r="K66" s="82"/>
      <c r="L66" s="82"/>
      <c r="M66" s="82"/>
      <c r="N66" s="82"/>
    </row>
    <row r="67" spans="1:20">
      <c r="A67" s="35"/>
      <c r="B67" s="729"/>
      <c r="O67"/>
      <c r="P67"/>
      <c r="Q67"/>
      <c r="R67"/>
      <c r="S67"/>
      <c r="T67"/>
    </row>
    <row r="68" spans="1:20">
      <c r="A68" s="35"/>
      <c r="B68" s="737" t="s">
        <v>174</v>
      </c>
    </row>
    <row r="69" spans="1:20">
      <c r="A69" s="35"/>
      <c r="B69" s="729" t="s">
        <v>173</v>
      </c>
      <c r="C69" s="156" t="str">
        <f>'RFPR cover'!$C$14</f>
        <v>£m 12/13</v>
      </c>
      <c r="D69" s="96">
        <f>D34+D62</f>
        <v>0</v>
      </c>
      <c r="E69" s="97">
        <f t="shared" ref="E69:K69" si="21">E34+E62</f>
        <v>0</v>
      </c>
      <c r="F69" s="97">
        <f t="shared" si="21"/>
        <v>0</v>
      </c>
      <c r="G69" s="97">
        <f t="shared" si="21"/>
        <v>-6.7653666090379261E-3</v>
      </c>
      <c r="H69" s="97">
        <f t="shared" si="21"/>
        <v>-4.0223007778253628</v>
      </c>
      <c r="I69" s="97">
        <f t="shared" si="21"/>
        <v>-4.0277340222826528</v>
      </c>
      <c r="J69" s="97">
        <f t="shared" si="21"/>
        <v>-6.1796193445368637</v>
      </c>
      <c r="K69" s="97">
        <f t="shared" si="21"/>
        <v>-9.1001249552950085</v>
      </c>
      <c r="L69" s="96">
        <f>SUM(D69:INDEX(D69:K69,0,MATCH('RFPR cover'!$C$7,$D$6:$K$6,0)))</f>
        <v>-14.236419511253917</v>
      </c>
      <c r="M69" s="98">
        <f>SUM(D69:K69)</f>
        <v>-23.336544466548926</v>
      </c>
    </row>
    <row r="70" spans="1:20">
      <c r="A70" s="35"/>
      <c r="B70" s="729" t="s">
        <v>272</v>
      </c>
      <c r="C70" s="156" t="str">
        <f>'RFPR cover'!$C$14</f>
        <v>£m 12/13</v>
      </c>
      <c r="D70" s="516">
        <f t="shared" ref="D70:K70" si="22">D35+D63</f>
        <v>0</v>
      </c>
      <c r="E70" s="517">
        <f t="shared" si="22"/>
        <v>0</v>
      </c>
      <c r="F70" s="517">
        <f t="shared" si="22"/>
        <v>0</v>
      </c>
      <c r="G70" s="517">
        <f t="shared" si="22"/>
        <v>-7.783808894266997E-3</v>
      </c>
      <c r="H70" s="517">
        <f t="shared" si="22"/>
        <v>-4.6278084217990756</v>
      </c>
      <c r="I70" s="517">
        <f t="shared" si="22"/>
        <v>-4.6340595740241266</v>
      </c>
      <c r="J70" s="517">
        <f t="shared" si="22"/>
        <v>-7.1098846222090817</v>
      </c>
      <c r="K70" s="517">
        <f t="shared" si="22"/>
        <v>-10.470036238887808</v>
      </c>
      <c r="L70" s="516">
        <f>SUM(D70:INDEX(D70:K70,0,MATCH('RFPR cover'!$C$7,$D$6:$K$6,0)))</f>
        <v>-16.379536426926549</v>
      </c>
      <c r="M70" s="518">
        <f>SUM(D70:K70)</f>
        <v>-26.849572665814357</v>
      </c>
    </row>
    <row r="71" spans="1:20">
      <c r="A71" s="35"/>
      <c r="B71" s="737" t="s">
        <v>11</v>
      </c>
      <c r="C71" s="157" t="str">
        <f>'RFPR cover'!$C$14</f>
        <v>£m 12/13</v>
      </c>
      <c r="D71" s="146">
        <f>SUM(D69:D70)</f>
        <v>0</v>
      </c>
      <c r="E71" s="147">
        <f t="shared" ref="E71:K71" si="23">SUM(E69:E70)</f>
        <v>0</v>
      </c>
      <c r="F71" s="147">
        <f t="shared" si="23"/>
        <v>0</v>
      </c>
      <c r="G71" s="147">
        <f t="shared" si="23"/>
        <v>-1.4549175503304923E-2</v>
      </c>
      <c r="H71" s="147">
        <f t="shared" si="23"/>
        <v>-8.6501091996244384</v>
      </c>
      <c r="I71" s="147">
        <f t="shared" si="23"/>
        <v>-8.6617935963067794</v>
      </c>
      <c r="J71" s="147">
        <f t="shared" si="23"/>
        <v>-13.289503966745945</v>
      </c>
      <c r="K71" s="147">
        <f t="shared" si="23"/>
        <v>-19.570161194182816</v>
      </c>
      <c r="L71" s="146">
        <f>SUM(D71:INDEX(D71:K71,0,MATCH('RFPR cover'!$C$7,$D$6:$K$6,0)))</f>
        <v>-30.61595593818047</v>
      </c>
      <c r="M71" s="148">
        <f>SUM(D71:K71)</f>
        <v>-50.186117132363286</v>
      </c>
    </row>
    <row r="72" spans="1:20">
      <c r="A72" s="35"/>
      <c r="B72" s="737"/>
      <c r="C72" s="157"/>
      <c r="D72" s="157"/>
      <c r="E72" s="157"/>
      <c r="F72" s="157"/>
      <c r="G72" s="157"/>
      <c r="H72" s="157"/>
      <c r="I72" s="157"/>
      <c r="J72" s="157"/>
      <c r="K72" s="157"/>
      <c r="L72" s="157"/>
      <c r="M72" s="157"/>
    </row>
    <row r="73" spans="1:20">
      <c r="A73" s="35"/>
      <c r="B73" s="729"/>
    </row>
    <row r="74" spans="1:20">
      <c r="A74" s="35"/>
      <c r="B74" s="732" t="s">
        <v>207</v>
      </c>
      <c r="C74" s="151"/>
      <c r="D74" s="81"/>
      <c r="E74" s="81"/>
      <c r="F74" s="81"/>
      <c r="G74" s="81"/>
      <c r="H74" s="81"/>
      <c r="I74" s="81"/>
      <c r="J74" s="81"/>
      <c r="K74" s="81"/>
      <c r="L74" s="81"/>
      <c r="M74" s="81"/>
      <c r="N74" s="81"/>
    </row>
    <row r="75" spans="1:20">
      <c r="A75" s="35"/>
      <c r="B75" s="369" t="s">
        <v>206</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36" t="s">
        <v>210</v>
      </c>
      <c r="C77" s="156" t="str">
        <f>'RFPR cover'!$C$14</f>
        <v>£m 12/13</v>
      </c>
      <c r="D77" s="912">
        <f>INDEX(Data!$C$119:$L$146,MATCH('RFPR cover'!$C$5,Data!$B$119:$B$146,0),MATCH('R4 - Totex'!D$6,Data!$C$118:$L$118,0))</f>
        <v>-1.8633532543800757</v>
      </c>
      <c r="E77" s="913">
        <f>INDEX(Data!$C$119:$L$146,MATCH('RFPR cover'!$C$5,Data!$B$119:$B$146,0),MATCH('R4 - Totex'!E$6,Data!$C$118:$L$118,0))</f>
        <v>-1.8182980405067262</v>
      </c>
      <c r="F77" s="913">
        <f>INDEX(Data!$C$119:$L$146,MATCH('RFPR cover'!$C$5,Data!$B$119:$B$146,0),MATCH('R4 - Totex'!F$6,Data!$C$118:$L$118,0))</f>
        <v>-1.83946756302578</v>
      </c>
      <c r="G77" s="913">
        <f>INDEX(Data!$C$119:$L$146,MATCH('RFPR cover'!$C$5,Data!$B$119:$B$146,0),MATCH('R4 - Totex'!G$6,Data!$C$118:$L$118,0))</f>
        <v>-1.7415973428180247</v>
      </c>
      <c r="H77" s="913">
        <f>INDEX(Data!$C$119:$L$146,MATCH('RFPR cover'!$C$5,Data!$B$119:$B$146,0),MATCH('R4 - Totex'!H$6,Data!$C$118:$L$118,0))</f>
        <v>-1.6798002111470465</v>
      </c>
      <c r="I77" s="913">
        <f>INDEX(Data!$C$119:$L$146,MATCH('RFPR cover'!$C$5,Data!$B$119:$B$146,0),MATCH('R4 - Totex'!I$6,Data!$C$118:$L$118,0))</f>
        <v>-1.5974456358596774</v>
      </c>
      <c r="J77" s="913">
        <f>INDEX(Data!$C$119:$L$146,MATCH('RFPR cover'!$C$5,Data!$B$119:$B$146,0),MATCH('R4 - Totex'!J$6,Data!$C$118:$L$118,0))</f>
        <v>-1.5016396120831343</v>
      </c>
      <c r="K77" s="914">
        <f>INDEX(Data!$C$119:$L$146,MATCH('RFPR cover'!$C$5,Data!$B$119:$B$146,0),MATCH('R4 - Totex'!K$6,Data!$C$118:$L$118,0))</f>
        <v>-1.4453638876860204</v>
      </c>
      <c r="L77" s="99">
        <f>SUM(D77:INDEX(D77:K77,0,MATCH('RFPR cover'!$C$7,$D$6:$K$6,0)))</f>
        <v>-12.041601659820465</v>
      </c>
      <c r="M77" s="101">
        <f>SUM(D77:K77)</f>
        <v>-13.486965547506486</v>
      </c>
    </row>
    <row r="78" spans="1:20">
      <c r="A78" s="35"/>
      <c r="B78" s="226" t="s">
        <v>194</v>
      </c>
      <c r="C78" s="156" t="s">
        <v>7</v>
      </c>
      <c r="D78" s="915" t="str">
        <f>IF(INDEX(Data!$J$73:$J$100,MATCH('RFPR cover'!$C$5,Data!$B$73:$B$100,0),0)="Pre",INDEX(Data!$G$18:$G$27,MATCH('R4 - Totex'!D$6,Data!$C$18:$C$27,0),0),"n/a")</f>
        <v>n/a</v>
      </c>
      <c r="E78" s="916" t="str">
        <f>IF(INDEX(Data!$J$73:$J$100,MATCH('RFPR cover'!$C$5,Data!$B$73:$B$100,0),0)="Pre",INDEX(Data!$G$18:$G$27,MATCH('R4 - Totex'!E$6,Data!$C$18:$C$27,0),0),"n/a")</f>
        <v>n/a</v>
      </c>
      <c r="F78" s="916" t="str">
        <f>IF(INDEX(Data!$J$73:$J$100,MATCH('RFPR cover'!$C$5,Data!$B$73:$B$100,0),0)="Pre",INDEX(Data!$G$18:$G$27,MATCH('R4 - Totex'!F$6,Data!$C$18:$C$27,0),0),"n/a")</f>
        <v>n/a</v>
      </c>
      <c r="G78" s="916" t="str">
        <f>IF(INDEX(Data!$J$73:$J$100,MATCH('RFPR cover'!$C$5,Data!$B$73:$B$100,0),0)="Pre",INDEX(Data!$G$18:$G$27,MATCH('R4 - Totex'!G$6,Data!$C$18:$C$27,0),0),"n/a")</f>
        <v>n/a</v>
      </c>
      <c r="H78" s="916" t="str">
        <f>IF(INDEX(Data!$J$73:$J$100,MATCH('RFPR cover'!$C$5,Data!$B$73:$B$100,0),0)="Pre",INDEX(Data!$G$18:$G$27,MATCH('R4 - Totex'!H$6,Data!$C$18:$C$27,0),0),"n/a")</f>
        <v>n/a</v>
      </c>
      <c r="I78" s="916" t="str">
        <f>IF(INDEX(Data!$J$73:$J$100,MATCH('RFPR cover'!$C$5,Data!$B$73:$B$100,0),0)="Pre",INDEX(Data!$G$18:$G$27,MATCH('R4 - Totex'!I$6,Data!$C$18:$C$27,0),0),"n/a")</f>
        <v>n/a</v>
      </c>
      <c r="J78" s="916" t="str">
        <f>IF(INDEX(Data!$J$73:$J$100,MATCH('RFPR cover'!$C$5,Data!$B$73:$B$100,0),0)="Pre",INDEX(Data!$G$18:$G$27,MATCH('R4 - Totex'!J$6,Data!$C$18:$C$27,0),0),"n/a")</f>
        <v>n/a</v>
      </c>
      <c r="K78" s="917" t="str">
        <f>IF(INDEX(Data!$J$73:$J$100,MATCH('RFPR cover'!$C$5,Data!$B$73:$B$100,0),0)="Pre",INDEX(Data!$G$18:$G$27,MATCH('R4 - Totex'!K$6,Data!$C$18:$C$27,0),0),"n/a")</f>
        <v>n/a</v>
      </c>
      <c r="L78" s="832"/>
      <c r="M78" s="833"/>
    </row>
    <row r="79" spans="1:20">
      <c r="A79" s="35"/>
      <c r="B79" s="226" t="s">
        <v>203</v>
      </c>
      <c r="C79" s="156" t="str">
        <f>'RFPR cover'!$C$14</f>
        <v>£m 12/13</v>
      </c>
      <c r="D79" s="602">
        <f>IF(ISNUMBER(D78),D77*(1-D78),D77)</f>
        <v>-1.8633532543800757</v>
      </c>
      <c r="E79" s="603">
        <f t="shared" ref="E79:K79" si="24">IF(ISNUMBER(E78),E77*(1-E78),E77)</f>
        <v>-1.8182980405067262</v>
      </c>
      <c r="F79" s="603">
        <f t="shared" si="24"/>
        <v>-1.83946756302578</v>
      </c>
      <c r="G79" s="603">
        <f t="shared" si="24"/>
        <v>-1.7415973428180247</v>
      </c>
      <c r="H79" s="603">
        <f t="shared" si="24"/>
        <v>-1.6798002111470465</v>
      </c>
      <c r="I79" s="603">
        <f t="shared" si="24"/>
        <v>-1.5974456358596774</v>
      </c>
      <c r="J79" s="603">
        <f t="shared" si="24"/>
        <v>-1.5016396120831343</v>
      </c>
      <c r="K79" s="604">
        <f t="shared" si="24"/>
        <v>-1.4453638876860204</v>
      </c>
      <c r="L79" s="642">
        <f>SUM(D79:INDEX(D79:K79,0,MATCH('RFPR cover'!$C$7,$D$6:$K$6,0)))</f>
        <v>-12.041601659820465</v>
      </c>
      <c r="M79" s="643">
        <f>SUM(D79:K79)</f>
        <v>-13.486965547506486</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29"/>
    </row>
    <row r="84" spans="1:20">
      <c r="A84" s="35"/>
      <c r="B84" s="731" t="s">
        <v>180</v>
      </c>
      <c r="C84" s="292"/>
      <c r="D84" s="294"/>
      <c r="E84" s="294"/>
      <c r="F84" s="294"/>
      <c r="G84" s="294"/>
      <c r="H84" s="294"/>
      <c r="I84" s="294"/>
      <c r="J84" s="294"/>
      <c r="K84" s="294"/>
      <c r="L84" s="294"/>
      <c r="M84" s="294"/>
      <c r="N84" s="294"/>
    </row>
    <row r="85" spans="1:20">
      <c r="A85" s="35"/>
      <c r="B85" s="737"/>
    </row>
    <row r="86" spans="1:20">
      <c r="A86" s="35"/>
      <c r="B86" s="736" t="str">
        <f>Data!B34</f>
        <v>Financial Year Average RPI (RPIt)</v>
      </c>
      <c r="C86" s="137" t="s">
        <v>124</v>
      </c>
      <c r="D86" s="113">
        <f>Data!C$34</f>
        <v>1.0603167467048125</v>
      </c>
      <c r="E86" s="114">
        <f>Data!D$34</f>
        <v>1.0830366813119445</v>
      </c>
      <c r="F86" s="114">
        <f>Data!E$34</f>
        <v>1.1235639113109226</v>
      </c>
      <c r="G86" s="114">
        <f>Data!F$34</f>
        <v>1.1578951670583426</v>
      </c>
      <c r="H86" s="114">
        <f>Data!G$34</f>
        <v>1.1878696229692449</v>
      </c>
      <c r="I86" s="114">
        <f>Data!H$34</f>
        <v>1.202275126868976</v>
      </c>
      <c r="J86" s="114">
        <f>Data!I$34</f>
        <v>1.2717209904294811</v>
      </c>
      <c r="K86" s="115">
        <f>Data!J$34</f>
        <v>1.3772738326351281</v>
      </c>
    </row>
    <row r="87" spans="1:20">
      <c r="A87" s="35"/>
      <c r="B87" s="736"/>
      <c r="D87" s="137"/>
      <c r="E87" s="137"/>
      <c r="F87" s="137"/>
      <c r="G87" s="137"/>
      <c r="H87" s="137"/>
      <c r="I87" s="137"/>
      <c r="J87" s="137"/>
      <c r="K87" s="137"/>
    </row>
    <row r="88" spans="1:20">
      <c r="A88" s="35"/>
      <c r="B88" s="732" t="str">
        <f>B10</f>
        <v>Totex</v>
      </c>
      <c r="C88" s="151"/>
      <c r="D88" s="82"/>
      <c r="E88" s="82"/>
      <c r="F88" s="82"/>
      <c r="G88" s="82"/>
      <c r="H88" s="82"/>
      <c r="I88" s="82"/>
      <c r="J88" s="82"/>
      <c r="K88" s="82"/>
      <c r="L88" s="82"/>
      <c r="M88" s="82"/>
      <c r="N88" s="82"/>
    </row>
    <row r="89" spans="1:20" s="35" customFormat="1">
      <c r="B89" s="733"/>
      <c r="C89" s="139"/>
      <c r="D89" s="321"/>
      <c r="E89" s="321"/>
      <c r="F89" s="321"/>
      <c r="G89" s="321"/>
      <c r="H89" s="321"/>
      <c r="I89" s="321"/>
      <c r="J89" s="321"/>
      <c r="K89" s="321"/>
      <c r="L89" s="321"/>
      <c r="M89" s="321"/>
      <c r="N89" s="321"/>
    </row>
    <row r="90" spans="1:20">
      <c r="A90" s="35"/>
      <c r="B90" s="306" t="s">
        <v>32</v>
      </c>
      <c r="C90" s="156" t="s">
        <v>125</v>
      </c>
      <c r="D90" s="96">
        <f t="shared" ref="D90:K91" si="25">D12*D$86</f>
        <v>192.97072315738123</v>
      </c>
      <c r="E90" s="97">
        <f t="shared" si="25"/>
        <v>212.53390837898672</v>
      </c>
      <c r="F90" s="97">
        <f t="shared" si="25"/>
        <v>224.48655142928473</v>
      </c>
      <c r="G90" s="97">
        <f t="shared" si="25"/>
        <v>255.14579954023313</v>
      </c>
      <c r="H90" s="97">
        <f t="shared" si="25"/>
        <v>251.72428441354469</v>
      </c>
      <c r="I90" s="97">
        <f t="shared" si="25"/>
        <v>249.60859392955669</v>
      </c>
      <c r="J90" s="97">
        <f t="shared" si="25"/>
        <v>242.90603170492815</v>
      </c>
      <c r="K90" s="97">
        <f t="shared" si="25"/>
        <v>278.94398584435805</v>
      </c>
      <c r="L90" s="644">
        <f>SUM(D90:INDEX(D90:K90,0,MATCH('RFPR cover'!$C$7,$D$6:$K$6,0)))</f>
        <v>1629.3758925539155</v>
      </c>
      <c r="M90" s="645">
        <f>SUM(D90:K90)</f>
        <v>1908.3198783982734</v>
      </c>
      <c r="N90" s="63"/>
      <c r="O90" s="63"/>
    </row>
    <row r="91" spans="1:20" ht="25.5">
      <c r="A91" s="35"/>
      <c r="B91" s="734" t="s">
        <v>190</v>
      </c>
      <c r="C91" s="156" t="s">
        <v>125</v>
      </c>
      <c r="D91" s="93">
        <f t="shared" si="25"/>
        <v>217.44923447319576</v>
      </c>
      <c r="E91" s="94">
        <f t="shared" si="25"/>
        <v>220.83394050296678</v>
      </c>
      <c r="F91" s="94">
        <f t="shared" si="25"/>
        <v>234.39765187211606</v>
      </c>
      <c r="G91" s="94">
        <f t="shared" si="25"/>
        <v>229.46299262487068</v>
      </c>
      <c r="H91" s="94">
        <f t="shared" si="25"/>
        <v>227.1946469843131</v>
      </c>
      <c r="I91" s="94">
        <f t="shared" si="25"/>
        <v>218.75605777787149</v>
      </c>
      <c r="J91" s="94">
        <f t="shared" si="25"/>
        <v>235.0347095900708</v>
      </c>
      <c r="K91" s="94">
        <f t="shared" si="25"/>
        <v>258.18824717801675</v>
      </c>
      <c r="L91" s="646">
        <f>SUM(D91:INDEX(D91:K91,0,MATCH('RFPR cover'!$C$7,$D$6:$K$6,0)))</f>
        <v>1583.1292338254048</v>
      </c>
      <c r="M91" s="647">
        <f>SUM(D91:K91)</f>
        <v>1841.3174810034216</v>
      </c>
      <c r="N91" s="63"/>
      <c r="O91" s="63"/>
    </row>
    <row r="92" spans="1:20">
      <c r="A92" s="35"/>
      <c r="B92" s="735" t="s">
        <v>188</v>
      </c>
      <c r="C92" s="156" t="s">
        <v>125</v>
      </c>
      <c r="D92" s="103">
        <f>D91-D90</f>
        <v>24.478511315814529</v>
      </c>
      <c r="E92" s="104">
        <f t="shared" ref="E92:M92" si="26">E91-E90</f>
        <v>8.3000321239800599</v>
      </c>
      <c r="F92" s="104">
        <f t="shared" si="26"/>
        <v>9.9111004428313265</v>
      </c>
      <c r="G92" s="104">
        <f t="shared" si="26"/>
        <v>-25.682806915362448</v>
      </c>
      <c r="H92" s="104">
        <f t="shared" si="26"/>
        <v>-24.529637429231599</v>
      </c>
      <c r="I92" s="104">
        <f t="shared" si="26"/>
        <v>-30.8525361516852</v>
      </c>
      <c r="J92" s="104">
        <f t="shared" si="26"/>
        <v>-7.8713221148573496</v>
      </c>
      <c r="K92" s="105">
        <f t="shared" si="26"/>
        <v>-20.755738666341301</v>
      </c>
      <c r="L92" s="103">
        <f t="shared" si="26"/>
        <v>-46.246658728510738</v>
      </c>
      <c r="M92" s="105">
        <f t="shared" si="26"/>
        <v>-67.002397394851869</v>
      </c>
      <c r="N92" s="63"/>
      <c r="O92" s="1053"/>
      <c r="P92" s="1053"/>
      <c r="Q92" s="1053"/>
      <c r="R92"/>
      <c r="S92"/>
      <c r="T92"/>
    </row>
    <row r="93" spans="1:20">
      <c r="A93" s="35"/>
      <c r="B93" s="735"/>
      <c r="C93" s="156"/>
      <c r="D93" s="59"/>
      <c r="E93" s="59"/>
      <c r="F93" s="59"/>
      <c r="G93" s="59"/>
      <c r="H93" s="59"/>
      <c r="I93" s="59"/>
      <c r="J93" s="59"/>
      <c r="K93" s="59"/>
      <c r="L93" s="59"/>
      <c r="M93" s="59"/>
      <c r="O93" s="64"/>
      <c r="P93" s="64"/>
      <c r="Q93" s="64"/>
      <c r="R93"/>
      <c r="S93"/>
      <c r="T93"/>
    </row>
    <row r="94" spans="1:20">
      <c r="A94" s="35"/>
      <c r="B94" s="729" t="s">
        <v>171</v>
      </c>
      <c r="C94" s="137" t="s">
        <v>7</v>
      </c>
      <c r="D94" s="110">
        <f>1-INDEX(Data!$D$73:$D$100,MATCH('RFPR cover'!$C$5,Data!$B$73:$B$100,0),0)</f>
        <v>0.46499999999999997</v>
      </c>
      <c r="E94" s="111">
        <f>1-INDEX(Data!$D$73:$D$100,MATCH('RFPR cover'!$C$5,Data!$B$73:$B$100,0),0)</f>
        <v>0.46499999999999997</v>
      </c>
      <c r="F94" s="111">
        <f>1-INDEX(Data!$D$73:$D$100,MATCH('RFPR cover'!$C$5,Data!$B$73:$B$100,0),0)</f>
        <v>0.46499999999999997</v>
      </c>
      <c r="G94" s="111">
        <f>1-INDEX(Data!$D$73:$D$100,MATCH('RFPR cover'!$C$5,Data!$B$73:$B$100,0),0)</f>
        <v>0.46499999999999997</v>
      </c>
      <c r="H94" s="111">
        <f>1-INDEX(Data!$D$73:$D$100,MATCH('RFPR cover'!$C$5,Data!$B$73:$B$100,0),0)</f>
        <v>0.46499999999999997</v>
      </c>
      <c r="I94" s="111">
        <f>1-INDEX(Data!$D$73:$D$100,MATCH('RFPR cover'!$C$5,Data!$B$73:$B$100,0),0)</f>
        <v>0.46499999999999997</v>
      </c>
      <c r="J94" s="111">
        <f>1-INDEX(Data!$D$73:$D$100,MATCH('RFPR cover'!$C$5,Data!$B$73:$B$100,0),0)</f>
        <v>0.46499999999999997</v>
      </c>
      <c r="K94" s="112">
        <f>1-INDEX(Data!$D$73:$D$100,MATCH('RFPR cover'!$C$5,Data!$B$73:$B$100,0),0)</f>
        <v>0.46499999999999997</v>
      </c>
      <c r="L94" s="62"/>
      <c r="M94" s="62"/>
      <c r="O94"/>
      <c r="P94"/>
      <c r="Q94"/>
      <c r="R94"/>
      <c r="S94"/>
      <c r="T94"/>
    </row>
    <row r="95" spans="1:20">
      <c r="A95" s="35"/>
      <c r="B95" s="729"/>
      <c r="O95"/>
      <c r="P95"/>
      <c r="Q95"/>
      <c r="R95"/>
      <c r="S95"/>
      <c r="T95"/>
    </row>
    <row r="96" spans="1:20">
      <c r="A96" s="35"/>
      <c r="B96" s="736" t="s">
        <v>176</v>
      </c>
      <c r="C96" s="156" t="s">
        <v>125</v>
      </c>
      <c r="D96" s="96">
        <f>D92*D94</f>
        <v>11.382507761853756</v>
      </c>
      <c r="E96" s="97">
        <f t="shared" ref="E96:K96" si="27">E92*E94</f>
        <v>3.8595149376507276</v>
      </c>
      <c r="F96" s="97">
        <f t="shared" si="27"/>
        <v>4.6086617059165667</v>
      </c>
      <c r="G96" s="97">
        <f t="shared" si="27"/>
        <v>-11.942505215643537</v>
      </c>
      <c r="H96" s="97">
        <f t="shared" si="27"/>
        <v>-11.406281404592693</v>
      </c>
      <c r="I96" s="97">
        <f t="shared" si="27"/>
        <v>-14.346429310533617</v>
      </c>
      <c r="J96" s="97">
        <f t="shared" si="27"/>
        <v>-3.6601647834086672</v>
      </c>
      <c r="K96" s="97">
        <f t="shared" si="27"/>
        <v>-9.6514184798487044</v>
      </c>
      <c r="L96" s="96">
        <f>SUM(D96:INDEX(D96:K96,0,MATCH('RFPR cover'!$C$7,$D$6:$K$6,0)))</f>
        <v>-21.504696308757467</v>
      </c>
      <c r="M96" s="98">
        <f>SUM(D96:K96)</f>
        <v>-31.156114788606171</v>
      </c>
      <c r="O96"/>
      <c r="P96"/>
      <c r="Q96"/>
      <c r="R96"/>
      <c r="S96"/>
      <c r="T96"/>
    </row>
    <row r="97" spans="1:20">
      <c r="A97" s="35"/>
      <c r="B97" s="736" t="s">
        <v>272</v>
      </c>
      <c r="C97" s="156" t="s">
        <v>125</v>
      </c>
      <c r="D97" s="93">
        <f>D92*(1-D94)</f>
        <v>13.096003553960774</v>
      </c>
      <c r="E97" s="94">
        <f t="shared" ref="E97:K97" si="28">E92*(1-E94)</f>
        <v>4.4405171863293322</v>
      </c>
      <c r="F97" s="94">
        <f t="shared" si="28"/>
        <v>5.3024387369147599</v>
      </c>
      <c r="G97" s="94">
        <f t="shared" si="28"/>
        <v>-13.740301699718911</v>
      </c>
      <c r="H97" s="94">
        <f t="shared" si="28"/>
        <v>-13.123356024638905</v>
      </c>
      <c r="I97" s="94">
        <f t="shared" si="28"/>
        <v>-16.506106841151585</v>
      </c>
      <c r="J97" s="94">
        <f t="shared" si="28"/>
        <v>-4.2111573314486819</v>
      </c>
      <c r="K97" s="94">
        <f t="shared" si="28"/>
        <v>-11.104320186492597</v>
      </c>
      <c r="L97" s="93">
        <f>SUM(D97:INDEX(D97:K97,0,MATCH('RFPR cover'!$C$7,$D$6:$K$6,0)))</f>
        <v>-24.741962419753214</v>
      </c>
      <c r="M97" s="95">
        <f>SUM(D97:K97)</f>
        <v>-35.846282606245808</v>
      </c>
      <c r="O97"/>
      <c r="P97"/>
      <c r="Q97"/>
      <c r="R97"/>
      <c r="S97"/>
      <c r="T97"/>
    </row>
    <row r="98" spans="1:20">
      <c r="A98" s="35"/>
      <c r="B98" s="729"/>
      <c r="O98"/>
      <c r="P98"/>
      <c r="Q98"/>
      <c r="R98"/>
      <c r="S98"/>
      <c r="T98"/>
    </row>
    <row r="99" spans="1:20">
      <c r="A99" s="35"/>
      <c r="B99" s="737" t="s">
        <v>175</v>
      </c>
      <c r="N99" s="63"/>
      <c r="O99"/>
      <c r="P99"/>
      <c r="Q99"/>
      <c r="R99"/>
      <c r="S99"/>
      <c r="T99"/>
    </row>
    <row r="100" spans="1:20">
      <c r="A100" s="270" t="s">
        <v>148</v>
      </c>
      <c r="B100" s="226" t="str">
        <f t="shared" ref="B100:B105" si="29">B22</f>
        <v>Timing difference and over/under performance</v>
      </c>
      <c r="C100" s="156" t="s">
        <v>125</v>
      </c>
      <c r="D100" s="580">
        <f t="shared" ref="D100:K105" si="30">D22*D$86</f>
        <v>-24.478511315814536</v>
      </c>
      <c r="E100" s="680">
        <f t="shared" si="30"/>
        <v>-8.3000321239800616</v>
      </c>
      <c r="F100" s="680">
        <f t="shared" si="30"/>
        <v>-9.911100442831323</v>
      </c>
      <c r="G100" s="680">
        <f t="shared" si="30"/>
        <v>25.665960495362501</v>
      </c>
      <c r="H100" s="680">
        <f t="shared" si="30"/>
        <v>14.254435475630938</v>
      </c>
      <c r="I100" s="680">
        <f t="shared" si="30"/>
        <v>20.438677156772592</v>
      </c>
      <c r="J100" s="680">
        <f t="shared" si="30"/>
        <v>-9.0292190320493155</v>
      </c>
      <c r="K100" s="581">
        <f t="shared" si="30"/>
        <v>-6.1977322468580764</v>
      </c>
      <c r="L100" s="580">
        <f>SUM(D100:INDEX(D100:K100,0,MATCH('RFPR cover'!$C$7,$D$6:$K$6,0)))</f>
        <v>8.6402102130907998</v>
      </c>
      <c r="M100" s="581">
        <f t="shared" ref="M100:M106" si="31">SUM(D100:K100)</f>
        <v>2.4424779662327234</v>
      </c>
      <c r="N100" s="63"/>
      <c r="O100"/>
      <c r="P100"/>
      <c r="Q100"/>
      <c r="R100"/>
      <c r="S100"/>
      <c r="T100"/>
    </row>
    <row r="101" spans="1:20">
      <c r="A101" s="270" t="s">
        <v>149</v>
      </c>
      <c r="B101" s="226" t="str">
        <f t="shared" si="29"/>
        <v>[Enduring Value adjustment]</v>
      </c>
      <c r="C101" s="156" t="s">
        <v>125</v>
      </c>
      <c r="D101" s="584">
        <f t="shared" si="30"/>
        <v>0</v>
      </c>
      <c r="E101" s="918">
        <f t="shared" si="30"/>
        <v>0</v>
      </c>
      <c r="F101" s="918">
        <f t="shared" si="30"/>
        <v>0</v>
      </c>
      <c r="G101" s="918">
        <f t="shared" si="30"/>
        <v>0</v>
      </c>
      <c r="H101" s="918">
        <f t="shared" si="30"/>
        <v>0</v>
      </c>
      <c r="I101" s="918">
        <f t="shared" si="30"/>
        <v>0</v>
      </c>
      <c r="J101" s="918">
        <f t="shared" si="30"/>
        <v>0</v>
      </c>
      <c r="K101" s="585">
        <f t="shared" si="30"/>
        <v>0</v>
      </c>
      <c r="L101" s="584">
        <f>SUM(D101:INDEX(D101:K101,0,MATCH('RFPR cover'!$C$7,$D$6:$K$6,0)))</f>
        <v>0</v>
      </c>
      <c r="M101" s="585">
        <f t="shared" si="31"/>
        <v>0</v>
      </c>
      <c r="N101" s="63"/>
      <c r="O101"/>
      <c r="P101"/>
      <c r="Q101"/>
      <c r="R101"/>
      <c r="S101"/>
      <c r="T101"/>
    </row>
    <row r="102" spans="1:20">
      <c r="A102" s="270" t="s">
        <v>150</v>
      </c>
      <c r="B102" s="226" t="str">
        <f t="shared" si="29"/>
        <v>[Enduring Value adjustment]</v>
      </c>
      <c r="C102" s="156" t="s">
        <v>125</v>
      </c>
      <c r="D102" s="584">
        <f t="shared" si="30"/>
        <v>0</v>
      </c>
      <c r="E102" s="918">
        <f t="shared" si="30"/>
        <v>0</v>
      </c>
      <c r="F102" s="918">
        <f t="shared" si="30"/>
        <v>0</v>
      </c>
      <c r="G102" s="918">
        <f t="shared" si="30"/>
        <v>0</v>
      </c>
      <c r="H102" s="918">
        <f t="shared" si="30"/>
        <v>0</v>
      </c>
      <c r="I102" s="918">
        <f t="shared" si="30"/>
        <v>0</v>
      </c>
      <c r="J102" s="918">
        <f t="shared" si="30"/>
        <v>0</v>
      </c>
      <c r="K102" s="585">
        <f t="shared" si="30"/>
        <v>0</v>
      </c>
      <c r="L102" s="584">
        <f>SUM(D102:INDEX(D102:K102,0,MATCH('RFPR cover'!$C$7,$D$6:$K$6,0)))</f>
        <v>0</v>
      </c>
      <c r="M102" s="585">
        <f t="shared" si="31"/>
        <v>0</v>
      </c>
      <c r="N102" s="63"/>
      <c r="O102"/>
      <c r="P102"/>
      <c r="Q102"/>
      <c r="R102"/>
      <c r="S102" s="65"/>
      <c r="T102"/>
    </row>
    <row r="103" spans="1:20">
      <c r="A103" s="270" t="s">
        <v>162</v>
      </c>
      <c r="B103" s="226" t="str">
        <f t="shared" si="29"/>
        <v>[Enduring Value adjustment]</v>
      </c>
      <c r="C103" s="156" t="s">
        <v>125</v>
      </c>
      <c r="D103" s="584">
        <f t="shared" si="30"/>
        <v>0</v>
      </c>
      <c r="E103" s="918">
        <f t="shared" si="30"/>
        <v>0</v>
      </c>
      <c r="F103" s="918">
        <f t="shared" si="30"/>
        <v>0</v>
      </c>
      <c r="G103" s="918">
        <f t="shared" si="30"/>
        <v>0</v>
      </c>
      <c r="H103" s="918">
        <f t="shared" si="30"/>
        <v>0</v>
      </c>
      <c r="I103" s="918">
        <f t="shared" si="30"/>
        <v>0</v>
      </c>
      <c r="J103" s="918">
        <f t="shared" si="30"/>
        <v>0</v>
      </c>
      <c r="K103" s="585">
        <f t="shared" si="30"/>
        <v>0</v>
      </c>
      <c r="L103" s="584">
        <f>SUM(D103:INDEX(D103:K103,0,MATCH('RFPR cover'!$C$7,$D$6:$K$6,0)))</f>
        <v>0</v>
      </c>
      <c r="M103" s="585">
        <f t="shared" si="31"/>
        <v>0</v>
      </c>
      <c r="N103" s="63"/>
      <c r="O103"/>
      <c r="P103"/>
      <c r="Q103"/>
      <c r="R103"/>
      <c r="S103"/>
      <c r="T103"/>
    </row>
    <row r="104" spans="1:20">
      <c r="A104" s="270" t="s">
        <v>163</v>
      </c>
      <c r="B104" s="226" t="str">
        <f t="shared" si="29"/>
        <v>[Enduring Value adjustment]</v>
      </c>
      <c r="C104" s="156" t="s">
        <v>125</v>
      </c>
      <c r="D104" s="584">
        <f t="shared" si="30"/>
        <v>0</v>
      </c>
      <c r="E104" s="918">
        <f t="shared" si="30"/>
        <v>0</v>
      </c>
      <c r="F104" s="918">
        <f t="shared" si="30"/>
        <v>0</v>
      </c>
      <c r="G104" s="918">
        <f t="shared" si="30"/>
        <v>0</v>
      </c>
      <c r="H104" s="918">
        <f t="shared" si="30"/>
        <v>0</v>
      </c>
      <c r="I104" s="918">
        <f t="shared" si="30"/>
        <v>0</v>
      </c>
      <c r="J104" s="918">
        <f t="shared" si="30"/>
        <v>0</v>
      </c>
      <c r="K104" s="585">
        <f t="shared" si="30"/>
        <v>0</v>
      </c>
      <c r="L104" s="584">
        <f>SUM(D104:INDEX(D104:K104,0,MATCH('RFPR cover'!$C$7,$D$6:$K$6,0)))</f>
        <v>0</v>
      </c>
      <c r="M104" s="585">
        <f t="shared" si="31"/>
        <v>0</v>
      </c>
      <c r="N104" s="63"/>
      <c r="O104"/>
      <c r="P104"/>
      <c r="Q104"/>
      <c r="R104"/>
      <c r="S104"/>
      <c r="T104"/>
    </row>
    <row r="105" spans="1:20">
      <c r="A105" s="270" t="s">
        <v>164</v>
      </c>
      <c r="B105" s="226" t="str">
        <f t="shared" si="29"/>
        <v>[Enduring Value adjustment]</v>
      </c>
      <c r="C105" s="156" t="s">
        <v>125</v>
      </c>
      <c r="D105" s="919">
        <f t="shared" si="30"/>
        <v>0</v>
      </c>
      <c r="E105" s="920">
        <f t="shared" si="30"/>
        <v>0</v>
      </c>
      <c r="F105" s="920">
        <f t="shared" si="30"/>
        <v>0</v>
      </c>
      <c r="G105" s="920">
        <f t="shared" si="30"/>
        <v>0</v>
      </c>
      <c r="H105" s="920">
        <f t="shared" si="30"/>
        <v>0</v>
      </c>
      <c r="I105" s="920">
        <f t="shared" si="30"/>
        <v>0</v>
      </c>
      <c r="J105" s="920">
        <f t="shared" si="30"/>
        <v>0</v>
      </c>
      <c r="K105" s="921">
        <f t="shared" si="30"/>
        <v>0</v>
      </c>
      <c r="L105" s="588">
        <f>SUM(D105:INDEX(D105:K105,0,MATCH('RFPR cover'!$C$7,$D$6:$K$6,0)))</f>
        <v>0</v>
      </c>
      <c r="M105" s="589">
        <f t="shared" si="31"/>
        <v>0</v>
      </c>
      <c r="N105" s="63"/>
      <c r="O105"/>
      <c r="P105"/>
      <c r="Q105"/>
      <c r="R105"/>
      <c r="S105"/>
      <c r="T105"/>
    </row>
    <row r="106" spans="1:20">
      <c r="A106" s="35"/>
      <c r="B106" s="737" t="s">
        <v>183</v>
      </c>
      <c r="C106" s="156" t="s">
        <v>125</v>
      </c>
      <c r="D106" s="103">
        <f>SUM(D100:D105)</f>
        <v>-24.478511315814536</v>
      </c>
      <c r="E106" s="104">
        <f t="shared" ref="E106:K106" si="32">SUM(E100:E105)</f>
        <v>-8.3000321239800616</v>
      </c>
      <c r="F106" s="104">
        <f t="shared" si="32"/>
        <v>-9.911100442831323</v>
      </c>
      <c r="G106" s="104">
        <f t="shared" si="32"/>
        <v>25.665960495362501</v>
      </c>
      <c r="H106" s="104">
        <f t="shared" si="32"/>
        <v>14.254435475630938</v>
      </c>
      <c r="I106" s="104">
        <f t="shared" si="32"/>
        <v>20.438677156772592</v>
      </c>
      <c r="J106" s="104">
        <f t="shared" si="32"/>
        <v>-9.0292190320493155</v>
      </c>
      <c r="K106" s="105">
        <f t="shared" si="32"/>
        <v>-6.1977322468580764</v>
      </c>
      <c r="L106" s="103">
        <f>SUM(D106:INDEX(D106:K106,0,MATCH('RFPR cover'!$C$7,$D$6:$K$6,0)))</f>
        <v>8.6402102130907998</v>
      </c>
      <c r="M106" s="105">
        <f t="shared" si="31"/>
        <v>2.4424779662327234</v>
      </c>
      <c r="N106" s="63"/>
    </row>
    <row r="107" spans="1:20">
      <c r="A107" s="35"/>
      <c r="B107" s="729"/>
    </row>
    <row r="108" spans="1:20">
      <c r="A108" s="35"/>
      <c r="B108" s="736" t="s">
        <v>191</v>
      </c>
      <c r="C108" s="156" t="s">
        <v>125</v>
      </c>
      <c r="D108" s="96">
        <f t="shared" ref="D108:K108" si="33">D106*D94</f>
        <v>-11.382507761853759</v>
      </c>
      <c r="E108" s="97">
        <f t="shared" si="33"/>
        <v>-3.8595149376507285</v>
      </c>
      <c r="F108" s="97">
        <f t="shared" si="33"/>
        <v>-4.6086617059165649</v>
      </c>
      <c r="G108" s="97">
        <f t="shared" si="33"/>
        <v>11.934671630343562</v>
      </c>
      <c r="H108" s="97">
        <f t="shared" si="33"/>
        <v>6.6283124961683857</v>
      </c>
      <c r="I108" s="97">
        <f t="shared" si="33"/>
        <v>9.5039848778992546</v>
      </c>
      <c r="J108" s="97">
        <f t="shared" si="33"/>
        <v>-4.1985868499029317</v>
      </c>
      <c r="K108" s="97">
        <f t="shared" si="33"/>
        <v>-2.8819454947890053</v>
      </c>
      <c r="L108" s="96">
        <f>SUM(D108:INDEX(D108:K108,0,MATCH('RFPR cover'!$C$7,$D$6:$K$6,0)))</f>
        <v>4.0176977490872181</v>
      </c>
      <c r="M108" s="98">
        <f>SUM(D108:K108)</f>
        <v>1.1357522542982128</v>
      </c>
    </row>
    <row r="109" spans="1:20">
      <c r="A109" s="35"/>
      <c r="B109" s="736" t="s">
        <v>301</v>
      </c>
      <c r="C109" s="156" t="s">
        <v>125</v>
      </c>
      <c r="D109" s="93">
        <f t="shared" ref="D109:K109" si="34">D106*(1-D94)</f>
        <v>-13.096003553960777</v>
      </c>
      <c r="E109" s="94">
        <f t="shared" si="34"/>
        <v>-4.4405171863293331</v>
      </c>
      <c r="F109" s="94">
        <f t="shared" si="34"/>
        <v>-5.3024387369147581</v>
      </c>
      <c r="G109" s="94">
        <f t="shared" si="34"/>
        <v>13.731288865018939</v>
      </c>
      <c r="H109" s="94">
        <f t="shared" si="34"/>
        <v>7.6261229794625525</v>
      </c>
      <c r="I109" s="94">
        <f t="shared" si="34"/>
        <v>10.934692278873337</v>
      </c>
      <c r="J109" s="94">
        <f t="shared" si="34"/>
        <v>-4.8306321821463838</v>
      </c>
      <c r="K109" s="94">
        <f t="shared" si="34"/>
        <v>-3.3157867520690711</v>
      </c>
      <c r="L109" s="93">
        <f>SUM(D109:INDEX(D109:K109,0,MATCH('RFPR cover'!$C$7,$D$6:$K$6,0)))</f>
        <v>4.6225124640035746</v>
      </c>
      <c r="M109" s="95">
        <f>SUM(D109:K109)</f>
        <v>1.3067257119345035</v>
      </c>
    </row>
    <row r="110" spans="1:20">
      <c r="A110" s="35"/>
      <c r="B110" s="729"/>
    </row>
    <row r="111" spans="1:20">
      <c r="A111" s="35"/>
      <c r="B111" s="737" t="s">
        <v>174</v>
      </c>
    </row>
    <row r="112" spans="1:20">
      <c r="A112" s="35"/>
      <c r="B112" s="729" t="s">
        <v>173</v>
      </c>
      <c r="C112" s="156" t="s">
        <v>125</v>
      </c>
      <c r="D112" s="96">
        <f>D96+D108</f>
        <v>0</v>
      </c>
      <c r="E112" s="97">
        <f t="shared" ref="E112:K112" si="35">E96+E108</f>
        <v>0</v>
      </c>
      <c r="F112" s="97">
        <f t="shared" si="35"/>
        <v>0</v>
      </c>
      <c r="G112" s="97">
        <f t="shared" si="35"/>
        <v>-7.8335852999753541E-3</v>
      </c>
      <c r="H112" s="97">
        <f t="shared" si="35"/>
        <v>-4.7779689084243078</v>
      </c>
      <c r="I112" s="97">
        <f t="shared" si="35"/>
        <v>-4.8424444326343625</v>
      </c>
      <c r="J112" s="97">
        <f t="shared" si="35"/>
        <v>-7.8587516333115985</v>
      </c>
      <c r="K112" s="97">
        <f t="shared" si="35"/>
        <v>-12.533363974637709</v>
      </c>
      <c r="L112" s="96">
        <f>SUM(D112:INDEX(D112:K112,0,MATCH('RFPR cover'!$C$7,$D$6:$K$6,0)))</f>
        <v>-17.486998559670244</v>
      </c>
      <c r="M112" s="98">
        <f>SUM(D112:K112)</f>
        <v>-30.020362534307953</v>
      </c>
    </row>
    <row r="113" spans="1:20">
      <c r="A113" s="35"/>
      <c r="B113" s="729" t="s">
        <v>272</v>
      </c>
      <c r="C113" s="156" t="s">
        <v>125</v>
      </c>
      <c r="D113" s="516">
        <f>D97+D109</f>
        <v>0</v>
      </c>
      <c r="E113" s="517">
        <f t="shared" ref="E113:K113" si="36">E97+E109</f>
        <v>0</v>
      </c>
      <c r="F113" s="517">
        <f t="shared" si="36"/>
        <v>0</v>
      </c>
      <c r="G113" s="517">
        <f t="shared" si="36"/>
        <v>-9.0128346999716058E-3</v>
      </c>
      <c r="H113" s="517">
        <f t="shared" si="36"/>
        <v>-5.4972330451763529</v>
      </c>
      <c r="I113" s="517">
        <f t="shared" si="36"/>
        <v>-5.5714145622782478</v>
      </c>
      <c r="J113" s="517">
        <f t="shared" si="36"/>
        <v>-9.0417895135950666</v>
      </c>
      <c r="K113" s="517">
        <f t="shared" si="36"/>
        <v>-14.420106938561668</v>
      </c>
      <c r="L113" s="516">
        <f>SUM(D113:INDEX(D113:K113,0,MATCH('RFPR cover'!$C$7,$D$6:$K$6,0)))</f>
        <v>-20.119449955749637</v>
      </c>
      <c r="M113" s="518">
        <f>SUM(D113:K113)</f>
        <v>-34.539556894311303</v>
      </c>
    </row>
    <row r="114" spans="1:20">
      <c r="A114" s="35"/>
      <c r="B114" s="737" t="s">
        <v>11</v>
      </c>
      <c r="C114" s="157" t="s">
        <v>125</v>
      </c>
      <c r="D114" s="146">
        <f>SUM(D112:D113)</f>
        <v>0</v>
      </c>
      <c r="E114" s="147">
        <f t="shared" ref="E114:K114" si="37">SUM(E112:E113)</f>
        <v>0</v>
      </c>
      <c r="F114" s="147">
        <f t="shared" si="37"/>
        <v>0</v>
      </c>
      <c r="G114" s="147">
        <f t="shared" si="37"/>
        <v>-1.684641999994696E-2</v>
      </c>
      <c r="H114" s="147">
        <f t="shared" si="37"/>
        <v>-10.275201953600661</v>
      </c>
      <c r="I114" s="147">
        <f t="shared" si="37"/>
        <v>-10.41385899491261</v>
      </c>
      <c r="J114" s="147">
        <f t="shared" si="37"/>
        <v>-16.900541146906665</v>
      </c>
      <c r="K114" s="147">
        <f t="shared" si="37"/>
        <v>-26.953470913199375</v>
      </c>
      <c r="L114" s="146">
        <f>SUM(D114:INDEX(D114:K114,0,MATCH('RFPR cover'!$C$7,$D$6:$K$6,0)))</f>
        <v>-37.606448515419885</v>
      </c>
      <c r="M114" s="148">
        <f>SUM(D114:K114)</f>
        <v>-64.559919428619253</v>
      </c>
    </row>
    <row r="115" spans="1:20">
      <c r="A115" s="35"/>
      <c r="B115" s="729"/>
    </row>
    <row r="116" spans="1:20">
      <c r="A116" s="35"/>
      <c r="B116" s="732" t="str">
        <f>B38</f>
        <v>n/a</v>
      </c>
      <c r="C116" s="151"/>
      <c r="D116" s="82"/>
      <c r="E116" s="82"/>
      <c r="F116" s="82"/>
      <c r="G116" s="82"/>
      <c r="H116" s="82"/>
      <c r="I116" s="82"/>
      <c r="J116" s="82"/>
      <c r="K116" s="82"/>
      <c r="L116" s="82"/>
      <c r="M116" s="82"/>
      <c r="N116" s="82"/>
    </row>
    <row r="117" spans="1:20" s="35" customFormat="1">
      <c r="B117" s="730"/>
      <c r="C117" s="139"/>
      <c r="D117" s="321"/>
      <c r="E117" s="321"/>
      <c r="F117" s="321"/>
      <c r="G117" s="321"/>
      <c r="H117" s="321"/>
      <c r="I117" s="321"/>
      <c r="J117" s="321"/>
      <c r="K117" s="321"/>
      <c r="L117" s="321"/>
      <c r="M117" s="321"/>
      <c r="N117" s="321"/>
    </row>
    <row r="118" spans="1:20">
      <c r="A118" s="35"/>
      <c r="B118" s="306" t="s">
        <v>32</v>
      </c>
      <c r="C118" s="156" t="s">
        <v>125</v>
      </c>
      <c r="D118" s="644">
        <f t="shared" ref="D118:K119" si="38">D40*D$86</f>
        <v>0</v>
      </c>
      <c r="E118" s="644">
        <f t="shared" si="38"/>
        <v>0</v>
      </c>
      <c r="F118" s="644">
        <f t="shared" si="38"/>
        <v>0</v>
      </c>
      <c r="G118" s="644">
        <f t="shared" si="38"/>
        <v>0</v>
      </c>
      <c r="H118" s="644">
        <f t="shared" si="38"/>
        <v>0</v>
      </c>
      <c r="I118" s="644">
        <f t="shared" si="38"/>
        <v>0</v>
      </c>
      <c r="J118" s="644">
        <f t="shared" si="38"/>
        <v>0</v>
      </c>
      <c r="K118" s="644">
        <f t="shared" si="38"/>
        <v>0</v>
      </c>
      <c r="L118" s="644">
        <f>SUM(D118:INDEX(D118:K118,0,MATCH('RFPR cover'!$C$7,$D$6:$K$6,0)))</f>
        <v>0</v>
      </c>
      <c r="M118" s="645">
        <f>SUM(D118:K118)</f>
        <v>0</v>
      </c>
      <c r="N118" s="63"/>
      <c r="O118" s="63"/>
    </row>
    <row r="119" spans="1:20" ht="25.5">
      <c r="A119" s="35"/>
      <c r="B119" s="734" t="s">
        <v>190</v>
      </c>
      <c r="C119" s="156" t="s">
        <v>125</v>
      </c>
      <c r="D119" s="644">
        <f t="shared" si="38"/>
        <v>0</v>
      </c>
      <c r="E119" s="644">
        <f t="shared" si="38"/>
        <v>0</v>
      </c>
      <c r="F119" s="644">
        <f t="shared" si="38"/>
        <v>0</v>
      </c>
      <c r="G119" s="644">
        <f t="shared" si="38"/>
        <v>0</v>
      </c>
      <c r="H119" s="644">
        <f t="shared" si="38"/>
        <v>0</v>
      </c>
      <c r="I119" s="644">
        <f t="shared" si="38"/>
        <v>0</v>
      </c>
      <c r="J119" s="644">
        <f t="shared" si="38"/>
        <v>0</v>
      </c>
      <c r="K119" s="644">
        <f t="shared" si="38"/>
        <v>0</v>
      </c>
      <c r="L119" s="646">
        <f>SUM(D119:INDEX(D119:K119,0,MATCH('RFPR cover'!$C$7,$D$6:$K$6,0)))</f>
        <v>0</v>
      </c>
      <c r="M119" s="647">
        <f>SUM(D119:K119)</f>
        <v>0</v>
      </c>
      <c r="N119" s="63"/>
      <c r="O119" s="63"/>
    </row>
    <row r="120" spans="1:20">
      <c r="A120" s="35"/>
      <c r="B120" s="735" t="s">
        <v>188</v>
      </c>
      <c r="C120" s="156" t="s">
        <v>125</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1053"/>
      <c r="P120" s="1053"/>
      <c r="Q120" s="1053"/>
      <c r="R120"/>
      <c r="S120"/>
      <c r="T120"/>
    </row>
    <row r="121" spans="1:20">
      <c r="A121" s="35"/>
      <c r="B121" s="735"/>
      <c r="C121" s="156"/>
      <c r="D121" s="59"/>
      <c r="E121" s="59"/>
      <c r="F121" s="59"/>
      <c r="G121" s="59"/>
      <c r="H121" s="59"/>
      <c r="I121" s="59"/>
      <c r="J121" s="59"/>
      <c r="K121" s="59"/>
      <c r="L121" s="59"/>
      <c r="M121" s="59"/>
      <c r="O121" s="64"/>
      <c r="P121" s="64"/>
      <c r="Q121" s="64"/>
      <c r="R121"/>
      <c r="S121"/>
      <c r="T121"/>
    </row>
    <row r="122" spans="1:20">
      <c r="A122" s="35"/>
      <c r="B122" s="729" t="s">
        <v>171</v>
      </c>
      <c r="C122" s="137" t="s">
        <v>7</v>
      </c>
      <c r="D122" s="110">
        <f>1-INDEX(Data!$D$73:$D$100,MATCH('RFPR cover'!$C$5,Data!$B$73:$B$100,0),0)</f>
        <v>0.46499999999999997</v>
      </c>
      <c r="E122" s="111">
        <f>1-INDEX(Data!$D$73:$D$100,MATCH('RFPR cover'!$C$5,Data!$B$73:$B$100,0),0)</f>
        <v>0.46499999999999997</v>
      </c>
      <c r="F122" s="111">
        <f>1-INDEX(Data!$D$73:$D$100,MATCH('RFPR cover'!$C$5,Data!$B$73:$B$100,0),0)</f>
        <v>0.46499999999999997</v>
      </c>
      <c r="G122" s="111">
        <f>1-INDEX(Data!$D$73:$D$100,MATCH('RFPR cover'!$C$5,Data!$B$73:$B$100,0),0)</f>
        <v>0.46499999999999997</v>
      </c>
      <c r="H122" s="111">
        <f>1-INDEX(Data!$D$73:$D$100,MATCH('RFPR cover'!$C$5,Data!$B$73:$B$100,0),0)</f>
        <v>0.46499999999999997</v>
      </c>
      <c r="I122" s="111">
        <f>1-INDEX(Data!$D$73:$D$100,MATCH('RFPR cover'!$C$5,Data!$B$73:$B$100,0),0)</f>
        <v>0.46499999999999997</v>
      </c>
      <c r="J122" s="111">
        <f>1-INDEX(Data!$D$73:$D$100,MATCH('RFPR cover'!$C$5,Data!$B$73:$B$100,0),0)</f>
        <v>0.46499999999999997</v>
      </c>
      <c r="K122" s="112">
        <f>1-INDEX(Data!$D$73:$D$100,MATCH('RFPR cover'!$C$5,Data!$B$73:$B$100,0),0)</f>
        <v>0.46499999999999997</v>
      </c>
      <c r="L122" s="62"/>
      <c r="M122" s="62"/>
      <c r="O122"/>
      <c r="P122"/>
      <c r="Q122"/>
      <c r="R122"/>
      <c r="S122"/>
      <c r="T122"/>
    </row>
    <row r="123" spans="1:20">
      <c r="A123" s="35"/>
      <c r="B123" s="729"/>
      <c r="O123"/>
      <c r="P123"/>
      <c r="Q123"/>
      <c r="R123"/>
      <c r="S123"/>
      <c r="T123"/>
    </row>
    <row r="124" spans="1:20">
      <c r="A124" s="35"/>
      <c r="B124" s="736" t="s">
        <v>176</v>
      </c>
      <c r="C124" s="160" t="s">
        <v>125</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36" t="s">
        <v>172</v>
      </c>
      <c r="C125" s="160" t="s">
        <v>125</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29"/>
      <c r="O126"/>
      <c r="P126"/>
      <c r="Q126"/>
      <c r="R126"/>
      <c r="S126"/>
      <c r="T126"/>
    </row>
    <row r="127" spans="1:20">
      <c r="A127" s="35"/>
      <c r="B127" s="737" t="s">
        <v>175</v>
      </c>
      <c r="N127" s="63"/>
      <c r="O127"/>
      <c r="P127"/>
      <c r="Q127"/>
      <c r="R127"/>
      <c r="S127"/>
      <c r="T127"/>
    </row>
    <row r="128" spans="1:20">
      <c r="A128" s="270" t="s">
        <v>148</v>
      </c>
      <c r="B128" s="226" t="str">
        <f t="shared" ref="B128:B133" si="42">B50</f>
        <v>[Enduring Value adjustment]</v>
      </c>
      <c r="C128" s="156" t="s">
        <v>125</v>
      </c>
      <c r="D128" s="580">
        <f t="shared" ref="D128:K133" si="43">D50*D$86</f>
        <v>0</v>
      </c>
      <c r="E128" s="680">
        <f t="shared" si="43"/>
        <v>0</v>
      </c>
      <c r="F128" s="680">
        <f t="shared" si="43"/>
        <v>0</v>
      </c>
      <c r="G128" s="680">
        <f t="shared" si="43"/>
        <v>0</v>
      </c>
      <c r="H128" s="680">
        <f t="shared" si="43"/>
        <v>0</v>
      </c>
      <c r="I128" s="680">
        <f t="shared" si="43"/>
        <v>0</v>
      </c>
      <c r="J128" s="680">
        <f t="shared" si="43"/>
        <v>0</v>
      </c>
      <c r="K128" s="581">
        <f t="shared" si="43"/>
        <v>0</v>
      </c>
      <c r="L128" s="580">
        <f>SUM(D128:INDEX(D128:K128,0,MATCH('RFPR cover'!$C$7,$D$6:$K$6,0)))</f>
        <v>0</v>
      </c>
      <c r="M128" s="581">
        <f t="shared" ref="M128:M134" si="44">SUM(D128:K128)</f>
        <v>0</v>
      </c>
      <c r="N128" s="63"/>
      <c r="O128"/>
      <c r="P128"/>
      <c r="Q128"/>
      <c r="R128"/>
      <c r="S128"/>
      <c r="T128"/>
    </row>
    <row r="129" spans="1:20">
      <c r="A129" s="270" t="s">
        <v>149</v>
      </c>
      <c r="B129" s="226" t="str">
        <f t="shared" si="42"/>
        <v>[Enduring Value adjustment]</v>
      </c>
      <c r="C129" s="156" t="s">
        <v>125</v>
      </c>
      <c r="D129" s="584">
        <f t="shared" si="43"/>
        <v>0</v>
      </c>
      <c r="E129" s="918">
        <f t="shared" si="43"/>
        <v>0</v>
      </c>
      <c r="F129" s="918">
        <f t="shared" si="43"/>
        <v>0</v>
      </c>
      <c r="G129" s="918">
        <f t="shared" si="43"/>
        <v>0</v>
      </c>
      <c r="H129" s="918">
        <f t="shared" si="43"/>
        <v>0</v>
      </c>
      <c r="I129" s="918">
        <f t="shared" si="43"/>
        <v>0</v>
      </c>
      <c r="J129" s="918">
        <f t="shared" si="43"/>
        <v>0</v>
      </c>
      <c r="K129" s="585">
        <f t="shared" si="43"/>
        <v>0</v>
      </c>
      <c r="L129" s="584">
        <f>SUM(D129:INDEX(D129:K129,0,MATCH('RFPR cover'!$C$7,$D$6:$K$6,0)))</f>
        <v>0</v>
      </c>
      <c r="M129" s="585">
        <f t="shared" si="44"/>
        <v>0</v>
      </c>
      <c r="N129" s="63"/>
      <c r="O129"/>
      <c r="P129"/>
      <c r="Q129"/>
      <c r="R129"/>
      <c r="S129"/>
      <c r="T129"/>
    </row>
    <row r="130" spans="1:20">
      <c r="A130" s="270" t="s">
        <v>150</v>
      </c>
      <c r="B130" s="226" t="str">
        <f t="shared" si="42"/>
        <v>[Enduring Value adjustment]</v>
      </c>
      <c r="C130" s="156" t="s">
        <v>125</v>
      </c>
      <c r="D130" s="584">
        <f t="shared" si="43"/>
        <v>0</v>
      </c>
      <c r="E130" s="918">
        <f t="shared" si="43"/>
        <v>0</v>
      </c>
      <c r="F130" s="918">
        <f t="shared" si="43"/>
        <v>0</v>
      </c>
      <c r="G130" s="918">
        <f t="shared" si="43"/>
        <v>0</v>
      </c>
      <c r="H130" s="918">
        <f t="shared" si="43"/>
        <v>0</v>
      </c>
      <c r="I130" s="918">
        <f t="shared" si="43"/>
        <v>0</v>
      </c>
      <c r="J130" s="918">
        <f t="shared" si="43"/>
        <v>0</v>
      </c>
      <c r="K130" s="585">
        <f t="shared" si="43"/>
        <v>0</v>
      </c>
      <c r="L130" s="584">
        <f>SUM(D130:INDEX(D130:K130,0,MATCH('RFPR cover'!$C$7,$D$6:$K$6,0)))</f>
        <v>0</v>
      </c>
      <c r="M130" s="585">
        <f t="shared" si="44"/>
        <v>0</v>
      </c>
      <c r="N130" s="63"/>
      <c r="O130"/>
      <c r="P130"/>
      <c r="Q130"/>
      <c r="R130"/>
      <c r="S130" s="65"/>
      <c r="T130"/>
    </row>
    <row r="131" spans="1:20">
      <c r="A131" s="270" t="s">
        <v>162</v>
      </c>
      <c r="B131" s="226" t="str">
        <f t="shared" si="42"/>
        <v>[Enduring Value adjustment]</v>
      </c>
      <c r="C131" s="156" t="s">
        <v>125</v>
      </c>
      <c r="D131" s="584">
        <f t="shared" si="43"/>
        <v>0</v>
      </c>
      <c r="E131" s="918">
        <f t="shared" si="43"/>
        <v>0</v>
      </c>
      <c r="F131" s="918">
        <f t="shared" si="43"/>
        <v>0</v>
      </c>
      <c r="G131" s="918">
        <f t="shared" si="43"/>
        <v>0</v>
      </c>
      <c r="H131" s="918">
        <f t="shared" si="43"/>
        <v>0</v>
      </c>
      <c r="I131" s="918">
        <f t="shared" si="43"/>
        <v>0</v>
      </c>
      <c r="J131" s="918">
        <f t="shared" si="43"/>
        <v>0</v>
      </c>
      <c r="K131" s="585">
        <f t="shared" si="43"/>
        <v>0</v>
      </c>
      <c r="L131" s="584">
        <f>SUM(D131:INDEX(D131:K131,0,MATCH('RFPR cover'!$C$7,$D$6:$K$6,0)))</f>
        <v>0</v>
      </c>
      <c r="M131" s="585">
        <f t="shared" si="44"/>
        <v>0</v>
      </c>
      <c r="N131" s="63"/>
      <c r="O131"/>
      <c r="P131"/>
      <c r="Q131"/>
      <c r="R131"/>
      <c r="S131"/>
      <c r="T131"/>
    </row>
    <row r="132" spans="1:20">
      <c r="A132" s="270" t="s">
        <v>163</v>
      </c>
      <c r="B132" s="226" t="str">
        <f t="shared" si="42"/>
        <v>[Enduring Value adjustment]</v>
      </c>
      <c r="C132" s="156" t="s">
        <v>125</v>
      </c>
      <c r="D132" s="584">
        <f t="shared" si="43"/>
        <v>0</v>
      </c>
      <c r="E132" s="918">
        <f t="shared" si="43"/>
        <v>0</v>
      </c>
      <c r="F132" s="918">
        <f t="shared" si="43"/>
        <v>0</v>
      </c>
      <c r="G132" s="918">
        <f t="shared" si="43"/>
        <v>0</v>
      </c>
      <c r="H132" s="918">
        <f t="shared" si="43"/>
        <v>0</v>
      </c>
      <c r="I132" s="918">
        <f t="shared" si="43"/>
        <v>0</v>
      </c>
      <c r="J132" s="918">
        <f t="shared" si="43"/>
        <v>0</v>
      </c>
      <c r="K132" s="585">
        <f t="shared" si="43"/>
        <v>0</v>
      </c>
      <c r="L132" s="584">
        <f>SUM(D132:INDEX(D132:K132,0,MATCH('RFPR cover'!$C$7,$D$6:$K$6,0)))</f>
        <v>0</v>
      </c>
      <c r="M132" s="585">
        <f t="shared" si="44"/>
        <v>0</v>
      </c>
      <c r="N132" s="63"/>
      <c r="O132"/>
      <c r="P132"/>
      <c r="Q132"/>
      <c r="R132"/>
      <c r="S132"/>
      <c r="T132"/>
    </row>
    <row r="133" spans="1:20">
      <c r="A133" s="270" t="s">
        <v>164</v>
      </c>
      <c r="B133" s="226" t="str">
        <f t="shared" si="42"/>
        <v>[Enduring Value adjustment]</v>
      </c>
      <c r="C133" s="156" t="s">
        <v>125</v>
      </c>
      <c r="D133" s="919">
        <f t="shared" si="43"/>
        <v>0</v>
      </c>
      <c r="E133" s="920">
        <f t="shared" si="43"/>
        <v>0</v>
      </c>
      <c r="F133" s="920">
        <f t="shared" si="43"/>
        <v>0</v>
      </c>
      <c r="G133" s="920">
        <f t="shared" si="43"/>
        <v>0</v>
      </c>
      <c r="H133" s="920">
        <f t="shared" si="43"/>
        <v>0</v>
      </c>
      <c r="I133" s="920">
        <f t="shared" si="43"/>
        <v>0</v>
      </c>
      <c r="J133" s="920">
        <f t="shared" si="43"/>
        <v>0</v>
      </c>
      <c r="K133" s="921">
        <f t="shared" si="43"/>
        <v>0</v>
      </c>
      <c r="L133" s="588">
        <f>SUM(D133:INDEX(D133:K133,0,MATCH('RFPR cover'!$C$7,$D$6:$K$6,0)))</f>
        <v>0</v>
      </c>
      <c r="M133" s="589">
        <f t="shared" si="44"/>
        <v>0</v>
      </c>
      <c r="N133" s="63"/>
      <c r="O133"/>
      <c r="P133"/>
      <c r="Q133"/>
      <c r="R133"/>
      <c r="S133"/>
      <c r="T133"/>
    </row>
    <row r="134" spans="1:20">
      <c r="A134" s="35"/>
      <c r="B134" s="737" t="s">
        <v>183</v>
      </c>
      <c r="C134" s="156" t="s">
        <v>125</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29"/>
    </row>
    <row r="136" spans="1:20">
      <c r="A136" s="35"/>
      <c r="B136" s="736" t="s">
        <v>191</v>
      </c>
      <c r="C136" s="160" t="s">
        <v>125</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36" t="s">
        <v>301</v>
      </c>
      <c r="C137" s="160" t="s">
        <v>125</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29"/>
    </row>
    <row r="139" spans="1:20">
      <c r="A139" s="35"/>
      <c r="B139" s="737" t="s">
        <v>174</v>
      </c>
    </row>
    <row r="140" spans="1:20">
      <c r="A140" s="35"/>
      <c r="B140" s="729" t="s">
        <v>173</v>
      </c>
      <c r="C140" s="156" t="s">
        <v>125</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29" t="s">
        <v>272</v>
      </c>
      <c r="C141" s="156" t="s">
        <v>125</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37" t="s">
        <v>11</v>
      </c>
      <c r="C142" s="157" t="s">
        <v>125</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37"/>
      <c r="C143" s="157"/>
      <c r="D143" s="157"/>
      <c r="E143" s="157"/>
      <c r="F143" s="157"/>
      <c r="G143" s="157"/>
      <c r="H143" s="157"/>
      <c r="I143" s="157"/>
      <c r="J143" s="157"/>
      <c r="K143" s="157"/>
      <c r="L143" s="157"/>
      <c r="M143" s="157"/>
    </row>
    <row r="144" spans="1:20">
      <c r="A144" s="35"/>
      <c r="B144" s="732" t="s">
        <v>250</v>
      </c>
      <c r="C144" s="151"/>
      <c r="D144" s="82"/>
      <c r="E144" s="82"/>
      <c r="F144" s="82"/>
      <c r="G144" s="82"/>
      <c r="H144" s="82"/>
      <c r="I144" s="82"/>
      <c r="J144" s="82"/>
      <c r="K144" s="82"/>
      <c r="L144" s="82"/>
      <c r="M144" s="82"/>
      <c r="N144" s="82"/>
    </row>
    <row r="145" spans="1:20">
      <c r="A145" s="35"/>
      <c r="B145" s="729"/>
      <c r="O145"/>
      <c r="P145"/>
      <c r="Q145"/>
      <c r="R145"/>
      <c r="S145"/>
      <c r="T145"/>
    </row>
    <row r="146" spans="1:20">
      <c r="A146" s="35"/>
      <c r="B146" s="737" t="s">
        <v>174</v>
      </c>
    </row>
    <row r="147" spans="1:20">
      <c r="A147" s="35"/>
      <c r="B147" s="729" t="s">
        <v>173</v>
      </c>
      <c r="C147" s="156" t="s">
        <v>125</v>
      </c>
      <c r="D147" s="96">
        <f>D112+D140</f>
        <v>0</v>
      </c>
      <c r="E147" s="97">
        <f t="shared" ref="E147:K147" si="51">E112+E140</f>
        <v>0</v>
      </c>
      <c r="F147" s="97">
        <f t="shared" si="51"/>
        <v>0</v>
      </c>
      <c r="G147" s="97">
        <f t="shared" si="51"/>
        <v>-7.8335852999753541E-3</v>
      </c>
      <c r="H147" s="97">
        <f t="shared" si="51"/>
        <v>-4.7779689084243078</v>
      </c>
      <c r="I147" s="97">
        <f t="shared" si="51"/>
        <v>-4.8424444326343625</v>
      </c>
      <c r="J147" s="97">
        <f t="shared" si="51"/>
        <v>-7.8587516333115985</v>
      </c>
      <c r="K147" s="97">
        <f t="shared" si="51"/>
        <v>-12.533363974637709</v>
      </c>
      <c r="L147" s="96">
        <f>SUM(D147:INDEX(D147:K147,0,MATCH('RFPR cover'!$C$7,$D$6:$K$6,0)))</f>
        <v>-17.486998559670244</v>
      </c>
      <c r="M147" s="98">
        <f>SUM(D147:K147)</f>
        <v>-30.020362534307953</v>
      </c>
    </row>
    <row r="148" spans="1:20">
      <c r="A148" s="35"/>
      <c r="B148" s="729" t="s">
        <v>272</v>
      </c>
      <c r="C148" s="156" t="s">
        <v>125</v>
      </c>
      <c r="D148" s="99">
        <f t="shared" ref="D148:K148" si="52">D113+D141</f>
        <v>0</v>
      </c>
      <c r="E148" s="100">
        <f t="shared" si="52"/>
        <v>0</v>
      </c>
      <c r="F148" s="100">
        <f t="shared" si="52"/>
        <v>0</v>
      </c>
      <c r="G148" s="100">
        <f t="shared" si="52"/>
        <v>-9.0128346999716058E-3</v>
      </c>
      <c r="H148" s="100">
        <f t="shared" si="52"/>
        <v>-5.4972330451763529</v>
      </c>
      <c r="I148" s="100">
        <f t="shared" si="52"/>
        <v>-5.5714145622782478</v>
      </c>
      <c r="J148" s="100">
        <f t="shared" si="52"/>
        <v>-9.0417895135950666</v>
      </c>
      <c r="K148" s="100">
        <f t="shared" si="52"/>
        <v>-14.420106938561668</v>
      </c>
      <c r="L148" s="99">
        <f>SUM(D148:INDEX(D148:K148,0,MATCH('RFPR cover'!$C$7,$D$6:$K$6,0)))</f>
        <v>-20.119449955749637</v>
      </c>
      <c r="M148" s="101">
        <f>SUM(D148:K148)</f>
        <v>-34.539556894311303</v>
      </c>
    </row>
    <row r="149" spans="1:20">
      <c r="A149" s="35"/>
      <c r="B149" s="737" t="s">
        <v>11</v>
      </c>
      <c r="C149" s="157" t="s">
        <v>125</v>
      </c>
      <c r="D149" s="140">
        <f>SUM(D147:D148)</f>
        <v>0</v>
      </c>
      <c r="E149" s="141">
        <f t="shared" ref="E149:K149" si="53">SUM(E147:E148)</f>
        <v>0</v>
      </c>
      <c r="F149" s="141">
        <f t="shared" si="53"/>
        <v>0</v>
      </c>
      <c r="G149" s="141">
        <f t="shared" si="53"/>
        <v>-1.684641999994696E-2</v>
      </c>
      <c r="H149" s="141">
        <f t="shared" si="53"/>
        <v>-10.275201953600661</v>
      </c>
      <c r="I149" s="141">
        <f t="shared" si="53"/>
        <v>-10.41385899491261</v>
      </c>
      <c r="J149" s="141">
        <f t="shared" si="53"/>
        <v>-16.900541146906665</v>
      </c>
      <c r="K149" s="141">
        <f t="shared" si="53"/>
        <v>-26.953470913199375</v>
      </c>
      <c r="L149" s="140">
        <f>SUM(D149:INDEX(D149:K149,0,MATCH('RFPR cover'!$C$7,$D$6:$K$6,0)))</f>
        <v>-37.606448515419885</v>
      </c>
      <c r="M149" s="142">
        <f>SUM(D149:K149)</f>
        <v>-64.559919428619253</v>
      </c>
    </row>
    <row r="150" spans="1:20">
      <c r="A150" s="35"/>
      <c r="B150" s="736"/>
      <c r="D150" s="137"/>
      <c r="E150" s="137"/>
      <c r="F150" s="137"/>
      <c r="G150" s="137"/>
      <c r="H150" s="137"/>
      <c r="I150" s="137"/>
      <c r="J150" s="137"/>
      <c r="K150" s="137"/>
    </row>
    <row r="151" spans="1:20">
      <c r="A151" s="35"/>
      <c r="B151" s="729"/>
    </row>
    <row r="152" spans="1:20">
      <c r="A152" s="82"/>
      <c r="B152" s="728"/>
      <c r="C152" s="151"/>
      <c r="D152" s="82"/>
      <c r="E152" s="82"/>
      <c r="F152" s="82"/>
      <c r="G152" s="82"/>
      <c r="H152" s="82"/>
      <c r="I152" s="82"/>
      <c r="J152" s="82"/>
      <c r="K152" s="82"/>
      <c r="L152" s="82"/>
      <c r="M152" s="82"/>
      <c r="N152" s="82"/>
    </row>
    <row r="153" spans="1:20">
      <c r="B153" s="729"/>
    </row>
    <row r="154" spans="1:20">
      <c r="B154" s="729"/>
    </row>
  </sheetData>
  <mergeCells count="4">
    <mergeCell ref="O14:Q14"/>
    <mergeCell ref="O42:Q42"/>
    <mergeCell ref="O92:Q92"/>
    <mergeCell ref="O120:Q120"/>
  </mergeCells>
  <conditionalFormatting sqref="D6:K6">
    <cfRule type="expression" dxfId="76" priority="7">
      <formula>AND(D$5="Actuals",E$5="Forecast")</formula>
    </cfRule>
  </conditionalFormatting>
  <conditionalFormatting sqref="B118:M142">
    <cfRule type="expression" dxfId="75" priority="3">
      <formula>$B$38="n/a"</formula>
    </cfRule>
  </conditionalFormatting>
  <conditionalFormatting sqref="D5:K5">
    <cfRule type="expression" dxfId="74" priority="2">
      <formula>AND(D$5="Actuals",E$5="Forecast")</formula>
    </cfRule>
  </conditionalFormatting>
  <conditionalFormatting sqref="B38:N64">
    <cfRule type="expression" dxfId="73"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K47" sqref="K47"/>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873" t="s">
        <v>255</v>
      </c>
      <c r="B1" s="874"/>
      <c r="C1" s="154"/>
      <c r="D1" s="132"/>
      <c r="E1" s="132"/>
      <c r="F1" s="132"/>
      <c r="G1" s="132"/>
      <c r="H1" s="132"/>
      <c r="I1" s="128"/>
      <c r="J1" s="128"/>
      <c r="K1" s="128"/>
      <c r="L1" s="128"/>
      <c r="M1" s="128"/>
      <c r="N1" s="129"/>
    </row>
    <row r="2" spans="1:14" s="37" customFormat="1" ht="20.25">
      <c r="A2" s="875" t="str">
        <f>'RFPR cover'!C5</f>
        <v>SPD</v>
      </c>
      <c r="B2" s="876"/>
      <c r="C2" s="155"/>
      <c r="D2" s="36"/>
      <c r="E2" s="36"/>
      <c r="F2" s="36"/>
      <c r="G2" s="36"/>
      <c r="H2" s="36"/>
      <c r="I2" s="27"/>
      <c r="J2" s="27"/>
      <c r="K2" s="27"/>
      <c r="L2" s="27"/>
      <c r="M2" s="27"/>
      <c r="N2" s="124"/>
    </row>
    <row r="3" spans="1:14" s="37" customFormat="1" ht="20.25">
      <c r="A3" s="877">
        <f>'RFPR cover'!C7</f>
        <v>2022</v>
      </c>
      <c r="B3" s="878"/>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106</v>
      </c>
    </row>
    <row r="7" spans="1:14" s="2" customFormat="1">
      <c r="A7" s="35"/>
      <c r="C7" s="137"/>
    </row>
    <row r="8" spans="1:14" s="2" customFormat="1">
      <c r="A8" s="35"/>
      <c r="B8" s="117" t="s">
        <v>192</v>
      </c>
      <c r="C8" s="151"/>
      <c r="D8" s="81"/>
      <c r="E8" s="81"/>
      <c r="F8" s="81"/>
      <c r="G8" s="81"/>
      <c r="H8" s="81"/>
      <c r="I8" s="81"/>
      <c r="J8" s="81"/>
      <c r="K8" s="81"/>
      <c r="L8" s="81"/>
      <c r="M8" s="81"/>
      <c r="N8" s="81"/>
    </row>
    <row r="9" spans="1:14" s="2" customFormat="1">
      <c r="A9" s="35"/>
      <c r="B9" s="368" t="s">
        <v>382</v>
      </c>
      <c r="C9" s="368"/>
      <c r="D9" s="368"/>
      <c r="E9" s="368"/>
      <c r="F9" s="368"/>
      <c r="G9" s="368"/>
      <c r="H9" s="368"/>
      <c r="I9" s="368"/>
      <c r="J9" s="368"/>
      <c r="K9" s="368"/>
      <c r="L9" s="368"/>
      <c r="M9" s="368"/>
      <c r="N9" s="368"/>
    </row>
    <row r="10" spans="1:14" s="2" customFormat="1">
      <c r="A10" s="35"/>
      <c r="B10" s="12"/>
      <c r="C10" s="137"/>
    </row>
    <row r="11" spans="1:14" s="2" customFormat="1">
      <c r="A11" s="225" t="s">
        <v>148</v>
      </c>
      <c r="B11" s="35" t="str">
        <f>Data!B153</f>
        <v>Broad measure of customer service</v>
      </c>
      <c r="C11" s="156" t="str">
        <f>'RFPR cover'!$C$14</f>
        <v>£m 12/13</v>
      </c>
      <c r="D11" s="590">
        <v>2.5695000000000006</v>
      </c>
      <c r="E11" s="591">
        <v>2.5243500000000001</v>
      </c>
      <c r="F11" s="591">
        <v>2.8318800000000035</v>
      </c>
      <c r="G11" s="591">
        <v>3.6854851679383849</v>
      </c>
      <c r="H11" s="591">
        <v>4.0120000000000005</v>
      </c>
      <c r="I11" s="591">
        <v>4.0839999999999996</v>
      </c>
      <c r="J11" s="591">
        <v>2.9778065564794178</v>
      </c>
      <c r="K11" s="600">
        <v>3.1</v>
      </c>
      <c r="L11" s="644">
        <f>SUM(D11:INDEX(D11:K11,0,MATCH('RFPR cover'!$C$7,$D$6:$K$6,0)))</f>
        <v>22.685021724417808</v>
      </c>
      <c r="M11" s="645">
        <f t="shared" ref="M11:M17" si="1">SUM(D11:K11)</f>
        <v>25.78502172441781</v>
      </c>
    </row>
    <row r="12" spans="1:14" s="2" customFormat="1">
      <c r="A12" s="225" t="s">
        <v>149</v>
      </c>
      <c r="B12" s="35" t="str">
        <f>Data!B154</f>
        <v>Interruptions-related quality of service</v>
      </c>
      <c r="C12" s="156" t="str">
        <f>'RFPR cover'!$C$14</f>
        <v>£m 12/13</v>
      </c>
      <c r="D12" s="592">
        <v>6.4745755729166703</v>
      </c>
      <c r="E12" s="593">
        <v>10.071152083333331</v>
      </c>
      <c r="F12" s="593">
        <v>8.8269837139917708</v>
      </c>
      <c r="G12" s="593">
        <v>4.526340749970962</v>
      </c>
      <c r="H12" s="593">
        <v>5.3921091947831883</v>
      </c>
      <c r="I12" s="593">
        <v>7.5132796890886562</v>
      </c>
      <c r="J12" s="593">
        <v>9.3764830932994805</v>
      </c>
      <c r="K12" s="601">
        <v>9</v>
      </c>
      <c r="L12" s="648">
        <f>SUM(D12:INDEX(D12:K12,0,MATCH('RFPR cover'!$C$7,$D$6:$K$6,0)))</f>
        <v>52.180924097384064</v>
      </c>
      <c r="M12" s="649">
        <f t="shared" si="1"/>
        <v>61.180924097384064</v>
      </c>
    </row>
    <row r="13" spans="1:14" s="2" customFormat="1">
      <c r="A13" s="225" t="s">
        <v>150</v>
      </c>
      <c r="B13" s="35" t="str">
        <f>Data!B155</f>
        <v>Incentive on connections engagement</v>
      </c>
      <c r="C13" s="156" t="str">
        <f>'RFPR cover'!$C$14</f>
        <v>£m 12/13</v>
      </c>
      <c r="D13" s="592">
        <v>0</v>
      </c>
      <c r="E13" s="593">
        <v>0</v>
      </c>
      <c r="F13" s="593">
        <v>0</v>
      </c>
      <c r="G13" s="593">
        <v>0</v>
      </c>
      <c r="H13" s="593">
        <v>0</v>
      </c>
      <c r="I13" s="593">
        <v>0</v>
      </c>
      <c r="J13" s="593">
        <v>0</v>
      </c>
      <c r="K13" s="601">
        <v>0</v>
      </c>
      <c r="L13" s="648">
        <f>SUM(D13:INDEX(D13:K13,0,MATCH('RFPR cover'!$C$7,$D$6:$K$6,0)))</f>
        <v>0</v>
      </c>
      <c r="M13" s="649">
        <f t="shared" si="1"/>
        <v>0</v>
      </c>
    </row>
    <row r="14" spans="1:14" s="2" customFormat="1">
      <c r="A14" s="225" t="s">
        <v>162</v>
      </c>
      <c r="B14" s="35" t="str">
        <f>Data!B156</f>
        <v>Time to Connect Incentive</v>
      </c>
      <c r="C14" s="156" t="str">
        <f>'RFPR cover'!$C$14</f>
        <v>£m 12/13</v>
      </c>
      <c r="D14" s="592">
        <v>0.96200459893724699</v>
      </c>
      <c r="E14" s="593">
        <v>0.6</v>
      </c>
      <c r="F14" s="593">
        <v>0.6</v>
      </c>
      <c r="G14" s="593">
        <v>0.6</v>
      </c>
      <c r="H14" s="593">
        <v>0.5978800878306878</v>
      </c>
      <c r="I14" s="593">
        <v>0.55268228298691302</v>
      </c>
      <c r="J14" s="593">
        <v>0.54987401808413527</v>
      </c>
      <c r="K14" s="601">
        <v>0.6</v>
      </c>
      <c r="L14" s="648">
        <f>SUM(D14:INDEX(D14:K14,0,MATCH('RFPR cover'!$C$7,$D$6:$K$6,0)))</f>
        <v>4.462440987838983</v>
      </c>
      <c r="M14" s="649">
        <f t="shared" si="1"/>
        <v>5.0624409878389827</v>
      </c>
    </row>
    <row r="15" spans="1:14" s="2" customFormat="1">
      <c r="A15" s="225" t="s">
        <v>163</v>
      </c>
      <c r="B15" s="35" t="str">
        <f>Data!B157</f>
        <v>Losses discretionary reward scheme</v>
      </c>
      <c r="C15" s="156" t="str">
        <f>'RFPR cover'!$C$14</f>
        <v>£m 12/13</v>
      </c>
      <c r="D15" s="592">
        <v>0</v>
      </c>
      <c r="E15" s="593">
        <v>0.38500000000000001</v>
      </c>
      <c r="F15" s="593">
        <v>0</v>
      </c>
      <c r="G15" s="593">
        <v>0</v>
      </c>
      <c r="H15" s="593">
        <v>0</v>
      </c>
      <c r="I15" s="593">
        <v>0</v>
      </c>
      <c r="J15" s="593">
        <v>0</v>
      </c>
      <c r="K15" s="601">
        <v>0</v>
      </c>
      <c r="L15" s="648">
        <f>SUM(D15:INDEX(D15:K15,0,MATCH('RFPR cover'!$C$7,$D$6:$K$6,0)))</f>
        <v>0.38500000000000001</v>
      </c>
      <c r="M15" s="649">
        <f t="shared" si="1"/>
        <v>0.38500000000000001</v>
      </c>
    </row>
    <row r="16" spans="1:14" s="2" customFormat="1">
      <c r="A16" s="225" t="s">
        <v>164</v>
      </c>
      <c r="B16" s="35" t="str">
        <f>Data!B158</f>
        <v/>
      </c>
      <c r="C16" s="156" t="str">
        <f>'RFPR cover'!$C$14</f>
        <v>£m 12/13</v>
      </c>
      <c r="D16" s="592">
        <v>0</v>
      </c>
      <c r="E16" s="593">
        <v>0</v>
      </c>
      <c r="F16" s="593">
        <v>0</v>
      </c>
      <c r="G16" s="593">
        <v>0</v>
      </c>
      <c r="H16" s="593">
        <v>0</v>
      </c>
      <c r="I16" s="593">
        <v>0</v>
      </c>
      <c r="J16" s="593">
        <v>0</v>
      </c>
      <c r="K16" s="601">
        <v>0</v>
      </c>
      <c r="L16" s="648">
        <f>SUM(D16:INDEX(D16:K16,0,MATCH('RFPR cover'!$C$7,$D$6:$K$6,0)))</f>
        <v>0</v>
      </c>
      <c r="M16" s="649">
        <f t="shared" si="1"/>
        <v>0</v>
      </c>
    </row>
    <row r="17" spans="1:16" s="2" customFormat="1">
      <c r="A17" s="225" t="s">
        <v>464</v>
      </c>
      <c r="B17" s="35" t="str">
        <f>Data!B159</f>
        <v/>
      </c>
      <c r="C17" s="156" t="str">
        <f>'RFPR cover'!$C$14</f>
        <v>£m 12/13</v>
      </c>
      <c r="D17" s="922">
        <v>0</v>
      </c>
      <c r="E17" s="923">
        <v>0</v>
      </c>
      <c r="F17" s="923">
        <v>0</v>
      </c>
      <c r="G17" s="923">
        <v>0</v>
      </c>
      <c r="H17" s="923">
        <v>0</v>
      </c>
      <c r="I17" s="923">
        <v>0</v>
      </c>
      <c r="J17" s="923">
        <v>0</v>
      </c>
      <c r="K17" s="610">
        <v>0</v>
      </c>
      <c r="L17" s="648">
        <f>SUM(D17:INDEX(D17:K17,0,MATCH('RFPR cover'!$C$7,$D$6:$K$6,0)))</f>
        <v>0</v>
      </c>
      <c r="M17" s="649">
        <f t="shared" si="1"/>
        <v>0</v>
      </c>
    </row>
    <row r="18" spans="1:16" s="2" customFormat="1">
      <c r="A18" s="35"/>
      <c r="B18" s="12" t="s">
        <v>196</v>
      </c>
      <c r="C18" s="157" t="str">
        <f>'RFPR cover'!$C$14</f>
        <v>£m 12/13</v>
      </c>
      <c r="D18" s="602">
        <f>SUM(D11:D17)</f>
        <v>10.006080171853919</v>
      </c>
      <c r="E18" s="603">
        <f t="shared" ref="E18:K18" si="2">SUM(E11:E17)</f>
        <v>13.580502083333331</v>
      </c>
      <c r="F18" s="603">
        <f t="shared" si="2"/>
        <v>12.258863713991774</v>
      </c>
      <c r="G18" s="603">
        <f t="shared" si="2"/>
        <v>8.8118259179093474</v>
      </c>
      <c r="H18" s="603">
        <f t="shared" si="2"/>
        <v>10.001989282613877</v>
      </c>
      <c r="I18" s="603">
        <f t="shared" si="2"/>
        <v>12.149961972075568</v>
      </c>
      <c r="J18" s="603">
        <f t="shared" si="2"/>
        <v>12.904163667863035</v>
      </c>
      <c r="K18" s="604">
        <f t="shared" si="2"/>
        <v>12.7</v>
      </c>
      <c r="L18" s="933">
        <f>SUM(L11:L17)</f>
        <v>79.713386809640866</v>
      </c>
      <c r="M18" s="604">
        <f>SUM(M11:M17)</f>
        <v>92.413386809640869</v>
      </c>
    </row>
    <row r="19" spans="1:16" s="2" customFormat="1">
      <c r="A19" s="35"/>
      <c r="B19" s="12"/>
      <c r="C19" s="157"/>
      <c r="D19" s="157"/>
      <c r="E19" s="157"/>
      <c r="F19" s="157"/>
      <c r="G19" s="157"/>
      <c r="H19" s="157"/>
      <c r="I19" s="157"/>
      <c r="J19" s="157"/>
      <c r="K19" s="157"/>
      <c r="L19" s="157"/>
      <c r="M19" s="157"/>
    </row>
    <row r="20" spans="1:16" s="2" customFormat="1">
      <c r="A20" s="35"/>
      <c r="B20" s="12" t="s">
        <v>364</v>
      </c>
      <c r="C20" s="157"/>
      <c r="D20" s="157"/>
      <c r="E20" s="157"/>
      <c r="F20" s="157"/>
      <c r="G20" s="157"/>
      <c r="H20" s="157"/>
      <c r="I20" s="157"/>
      <c r="J20" s="157"/>
      <c r="K20" s="157"/>
      <c r="L20" s="157"/>
      <c r="M20" s="157"/>
    </row>
    <row r="21" spans="1:16" s="2" customFormat="1">
      <c r="A21" s="270" t="str">
        <f>A11</f>
        <v>a</v>
      </c>
      <c r="B21" s="1054" t="s">
        <v>602</v>
      </c>
      <c r="C21" s="1054"/>
      <c r="D21" s="1054"/>
      <c r="E21" s="1054"/>
      <c r="F21" s="1054"/>
      <c r="G21" s="1054"/>
      <c r="H21" s="1054"/>
      <c r="I21" s="1054"/>
      <c r="J21" s="1054"/>
      <c r="K21" s="1054"/>
      <c r="L21" s="1054"/>
      <c r="M21" s="1054"/>
    </row>
    <row r="22" spans="1:16" s="2" customFormat="1">
      <c r="A22" s="270" t="str">
        <f>A12</f>
        <v>b</v>
      </c>
      <c r="B22" s="1054"/>
      <c r="C22" s="1054"/>
      <c r="D22" s="1054"/>
      <c r="E22" s="1054"/>
      <c r="F22" s="1054"/>
      <c r="G22" s="1054"/>
      <c r="H22" s="1054"/>
      <c r="I22" s="1054"/>
      <c r="J22" s="1054"/>
      <c r="K22" s="1054"/>
      <c r="L22" s="1054"/>
      <c r="M22" s="1054"/>
    </row>
    <row r="23" spans="1:16" s="2" customFormat="1">
      <c r="A23" s="270" t="str">
        <f>A13</f>
        <v>c</v>
      </c>
      <c r="B23" s="1054" t="s">
        <v>603</v>
      </c>
      <c r="C23" s="1054"/>
      <c r="D23" s="1054"/>
      <c r="E23" s="1054"/>
      <c r="F23" s="1054"/>
      <c r="G23" s="1054"/>
      <c r="H23" s="1054"/>
      <c r="I23" s="1054"/>
      <c r="J23" s="1054"/>
      <c r="K23" s="1054"/>
      <c r="L23" s="1054"/>
      <c r="M23" s="1054"/>
    </row>
    <row r="24" spans="1:16" s="2" customFormat="1">
      <c r="A24" s="270" t="str">
        <f>A14</f>
        <v>d</v>
      </c>
      <c r="B24" s="1054"/>
      <c r="C24" s="1054"/>
      <c r="D24" s="1054"/>
      <c r="E24" s="1054"/>
      <c r="F24" s="1054"/>
      <c r="G24" s="1054"/>
      <c r="H24" s="1054"/>
      <c r="I24" s="1054"/>
      <c r="J24" s="1054"/>
      <c r="K24" s="1054"/>
      <c r="L24" s="1054"/>
      <c r="M24" s="1054"/>
    </row>
    <row r="25" spans="1:16" s="2" customFormat="1">
      <c r="A25" s="270" t="str">
        <f>A15</f>
        <v>e</v>
      </c>
      <c r="B25" s="1054" t="s">
        <v>604</v>
      </c>
      <c r="C25" s="1054"/>
      <c r="D25" s="1054"/>
      <c r="E25" s="1054"/>
      <c r="F25" s="1054"/>
      <c r="G25" s="1054"/>
      <c r="H25" s="1054"/>
      <c r="I25" s="1054"/>
      <c r="J25" s="1054"/>
      <c r="K25" s="1054"/>
      <c r="L25" s="1054"/>
      <c r="M25" s="1054"/>
    </row>
    <row r="26" spans="1:16" s="2" customFormat="1">
      <c r="A26" s="270" t="s">
        <v>164</v>
      </c>
      <c r="B26" s="798"/>
      <c r="C26" s="798"/>
      <c r="D26" s="798"/>
      <c r="E26" s="798"/>
      <c r="F26" s="798"/>
      <c r="G26" s="798"/>
      <c r="H26" s="798"/>
      <c r="I26" s="798"/>
      <c r="J26" s="798"/>
      <c r="K26" s="798"/>
      <c r="L26" s="798"/>
      <c r="M26" s="798"/>
    </row>
    <row r="27" spans="1:16" s="2" customFormat="1">
      <c r="A27" s="270" t="s">
        <v>464</v>
      </c>
      <c r="B27" s="798"/>
      <c r="C27" s="798"/>
      <c r="D27" s="798"/>
      <c r="E27" s="798"/>
      <c r="F27" s="798"/>
      <c r="G27" s="798"/>
      <c r="H27" s="798"/>
      <c r="I27" s="798"/>
      <c r="J27" s="798"/>
      <c r="K27" s="798"/>
      <c r="L27" s="798"/>
      <c r="M27" s="798"/>
    </row>
    <row r="28" spans="1:16" s="529" customFormat="1">
      <c r="A28" s="38"/>
      <c r="B28" s="533"/>
      <c r="C28" s="533"/>
      <c r="D28" s="533"/>
      <c r="E28" s="533"/>
      <c r="F28" s="533"/>
      <c r="G28" s="533"/>
      <c r="H28" s="533"/>
      <c r="I28" s="533"/>
      <c r="J28" s="533"/>
      <c r="K28" s="533"/>
      <c r="L28" s="533"/>
      <c r="M28" s="533"/>
    </row>
    <row r="29" spans="1:16" s="2" customFormat="1">
      <c r="B29" s="12"/>
      <c r="C29" s="137"/>
      <c r="D29" s="52"/>
      <c r="E29" s="52"/>
      <c r="F29" s="52"/>
      <c r="G29" s="52"/>
      <c r="H29" s="52"/>
      <c r="I29" s="52"/>
      <c r="J29" s="52"/>
      <c r="K29" s="52"/>
    </row>
    <row r="30" spans="1:16" s="2" customFormat="1">
      <c r="A30" s="35"/>
      <c r="B30" s="117" t="s">
        <v>193</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204</v>
      </c>
      <c r="C32" s="292"/>
      <c r="D32" s="294"/>
      <c r="E32" s="294"/>
      <c r="F32" s="294"/>
      <c r="G32" s="294"/>
      <c r="H32" s="294"/>
      <c r="I32" s="294"/>
      <c r="J32" s="294"/>
      <c r="K32" s="294"/>
      <c r="L32" s="294"/>
      <c r="M32" s="294"/>
      <c r="N32" s="294"/>
    </row>
    <row r="33" spans="1:14" s="2" customFormat="1">
      <c r="A33" s="35"/>
      <c r="B33" s="369" t="s">
        <v>234</v>
      </c>
      <c r="C33" s="292"/>
      <c r="D33" s="294"/>
      <c r="E33" s="294"/>
      <c r="F33" s="294"/>
      <c r="G33" s="294"/>
      <c r="H33" s="294"/>
      <c r="I33" s="294"/>
      <c r="J33" s="294"/>
      <c r="K33" s="294"/>
      <c r="L33" s="294"/>
      <c r="M33" s="294"/>
      <c r="N33" s="294"/>
    </row>
    <row r="34" spans="1:14" s="2" customFormat="1">
      <c r="A34" s="35"/>
      <c r="B34" s="369" t="s">
        <v>465</v>
      </c>
      <c r="C34" s="292"/>
      <c r="D34" s="294"/>
      <c r="E34" s="294"/>
      <c r="F34" s="294"/>
      <c r="G34" s="294"/>
      <c r="H34" s="294"/>
      <c r="I34" s="294"/>
      <c r="J34" s="294"/>
      <c r="K34" s="294"/>
      <c r="L34" s="294"/>
      <c r="M34" s="294"/>
      <c r="N34" s="294"/>
    </row>
    <row r="35" spans="1:14" s="2" customFormat="1">
      <c r="A35" s="35"/>
      <c r="B35" s="369" t="s">
        <v>202</v>
      </c>
      <c r="C35" s="292"/>
      <c r="D35" s="294"/>
      <c r="E35" s="294"/>
      <c r="F35" s="294"/>
      <c r="G35" s="294"/>
      <c r="H35" s="294"/>
      <c r="I35" s="294"/>
      <c r="J35" s="294"/>
      <c r="K35" s="294"/>
      <c r="L35" s="294"/>
      <c r="M35" s="294"/>
      <c r="N35" s="294"/>
    </row>
    <row r="36" spans="1:14" s="2" customFormat="1">
      <c r="A36" s="35"/>
      <c r="B36" s="369" t="s">
        <v>195</v>
      </c>
      <c r="C36" s="292"/>
      <c r="D36" s="294"/>
      <c r="E36" s="294"/>
      <c r="F36" s="294"/>
      <c r="G36" s="294"/>
      <c r="H36" s="294"/>
      <c r="I36" s="294"/>
      <c r="J36" s="294"/>
      <c r="K36" s="294"/>
      <c r="L36" s="294"/>
      <c r="M36" s="294"/>
      <c r="N36" s="294"/>
    </row>
    <row r="37" spans="1:14" s="2" customFormat="1">
      <c r="A37" s="35"/>
      <c r="B37" s="369" t="s">
        <v>201</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44">
        <f>D51</f>
        <v>2.0812950000000008</v>
      </c>
      <c r="E39" s="925">
        <f t="shared" ref="E39:K39" si="4">E51</f>
        <v>2.0447235000000004</v>
      </c>
      <c r="F39" s="925">
        <f t="shared" si="4"/>
        <v>2.2938228000000032</v>
      </c>
      <c r="G39" s="925">
        <f t="shared" si="4"/>
        <v>2.9852429860300917</v>
      </c>
      <c r="H39" s="925">
        <f t="shared" si="4"/>
        <v>3.2497200000000004</v>
      </c>
      <c r="I39" s="925">
        <f t="shared" si="4"/>
        <v>3.3080400000000001</v>
      </c>
      <c r="J39" s="925">
        <f t="shared" si="4"/>
        <v>2.4120233107483284</v>
      </c>
      <c r="K39" s="645">
        <f t="shared" si="4"/>
        <v>2.5110000000000001</v>
      </c>
      <c r="L39" s="644">
        <f>SUM(D39:INDEX(D39:K39,0,MATCH('RFPR cover'!$C$7,$D$6:$K$6,0)))</f>
        <v>18.374867596778426</v>
      </c>
      <c r="M39" s="645">
        <f t="shared" ref="M39:M45" si="5">SUM(D39:K39)</f>
        <v>20.885867596778425</v>
      </c>
    </row>
    <row r="40" spans="1:14" s="2" customFormat="1">
      <c r="A40" s="161" t="str">
        <f t="shared" si="3"/>
        <v>b</v>
      </c>
      <c r="B40" s="35" t="str">
        <f>$B$12&amp;""</f>
        <v>Interruptions-related quality of service</v>
      </c>
      <c r="C40" s="156" t="str">
        <f>'RFPR cover'!$C$14</f>
        <v>£m 12/13</v>
      </c>
      <c r="D40" s="648">
        <f>D55</f>
        <v>5.2444062140625034</v>
      </c>
      <c r="E40" s="926">
        <f t="shared" ref="E40:K40" si="6">E55</f>
        <v>8.1576331874999983</v>
      </c>
      <c r="F40" s="926">
        <f t="shared" si="6"/>
        <v>7.1498568083333351</v>
      </c>
      <c r="G40" s="926">
        <f t="shared" si="6"/>
        <v>3.6663360074764797</v>
      </c>
      <c r="H40" s="926">
        <f t="shared" si="6"/>
        <v>4.3676084477743826</v>
      </c>
      <c r="I40" s="926">
        <f t="shared" si="6"/>
        <v>6.0857565481618119</v>
      </c>
      <c r="J40" s="926">
        <f t="shared" si="6"/>
        <v>7.5949513055725797</v>
      </c>
      <c r="K40" s="649">
        <f t="shared" si="6"/>
        <v>7.2900000000000009</v>
      </c>
      <c r="L40" s="648">
        <f>SUM(D40:INDEX(D40:K40,0,MATCH('RFPR cover'!$C$7,$D$6:$K$6,0)))</f>
        <v>42.266548518881095</v>
      </c>
      <c r="M40" s="649">
        <f t="shared" si="5"/>
        <v>49.556548518881094</v>
      </c>
    </row>
    <row r="41" spans="1:14" s="2" customFormat="1">
      <c r="A41" s="161" t="str">
        <f t="shared" si="3"/>
        <v>c</v>
      </c>
      <c r="B41" s="35" t="str">
        <f>$B$13&amp;""</f>
        <v>Incentive on connections engagement</v>
      </c>
      <c r="C41" s="156" t="str">
        <f>'RFPR cover'!$C$14</f>
        <v>£m 12/13</v>
      </c>
      <c r="D41" s="648">
        <f>D59</f>
        <v>0</v>
      </c>
      <c r="E41" s="926">
        <f t="shared" ref="E41:K41" si="7">E59</f>
        <v>0</v>
      </c>
      <c r="F41" s="926">
        <f t="shared" si="7"/>
        <v>0</v>
      </c>
      <c r="G41" s="926">
        <f t="shared" si="7"/>
        <v>0</v>
      </c>
      <c r="H41" s="926">
        <f t="shared" si="7"/>
        <v>0</v>
      </c>
      <c r="I41" s="926">
        <f t="shared" si="7"/>
        <v>0</v>
      </c>
      <c r="J41" s="926">
        <f t="shared" si="7"/>
        <v>0</v>
      </c>
      <c r="K41" s="649">
        <f t="shared" si="7"/>
        <v>0</v>
      </c>
      <c r="L41" s="648">
        <f>SUM(D41:INDEX(D41:K41,0,MATCH('RFPR cover'!$C$7,$D$6:$K$6,0)))</f>
        <v>0</v>
      </c>
      <c r="M41" s="649">
        <f t="shared" si="5"/>
        <v>0</v>
      </c>
    </row>
    <row r="42" spans="1:14" s="2" customFormat="1">
      <c r="A42" s="161" t="str">
        <f t="shared" si="3"/>
        <v>d</v>
      </c>
      <c r="B42" s="35" t="str">
        <f>$B$14&amp;""</f>
        <v>Time to Connect Incentive</v>
      </c>
      <c r="C42" s="156" t="str">
        <f>'RFPR cover'!$C$14</f>
        <v>£m 12/13</v>
      </c>
      <c r="D42" s="648">
        <f>D63</f>
        <v>0.77922372513917015</v>
      </c>
      <c r="E42" s="926">
        <f t="shared" ref="E42:K42" si="8">E63</f>
        <v>0.48599999999999999</v>
      </c>
      <c r="F42" s="926">
        <f t="shared" si="8"/>
        <v>0.48599999999999999</v>
      </c>
      <c r="G42" s="926">
        <f t="shared" si="8"/>
        <v>0.48599999999999999</v>
      </c>
      <c r="H42" s="926">
        <f t="shared" si="8"/>
        <v>0.48428287114285717</v>
      </c>
      <c r="I42" s="926">
        <f t="shared" si="8"/>
        <v>0.44767264921939959</v>
      </c>
      <c r="J42" s="926">
        <f t="shared" si="8"/>
        <v>0.44539795464814957</v>
      </c>
      <c r="K42" s="649">
        <f t="shared" si="8"/>
        <v>0.48599999999999999</v>
      </c>
      <c r="L42" s="648">
        <f>SUM(D42:INDEX(D42:K42,0,MATCH('RFPR cover'!$C$7,$D$6:$K$6,0)))</f>
        <v>3.6145772001495766</v>
      </c>
      <c r="M42" s="649">
        <f t="shared" si="5"/>
        <v>4.1005772001495764</v>
      </c>
    </row>
    <row r="43" spans="1:14" s="2" customFormat="1">
      <c r="A43" s="161" t="str">
        <f t="shared" si="3"/>
        <v>e</v>
      </c>
      <c r="B43" s="35" t="str">
        <f>$B$15&amp;""</f>
        <v>Losses discretionary reward scheme</v>
      </c>
      <c r="C43" s="156" t="str">
        <f>'RFPR cover'!$C$14</f>
        <v>£m 12/13</v>
      </c>
      <c r="D43" s="648">
        <f>D67</f>
        <v>0</v>
      </c>
      <c r="E43" s="926">
        <f t="shared" ref="E43:K43" si="9">E67</f>
        <v>0.31185000000000002</v>
      </c>
      <c r="F43" s="926">
        <f t="shared" si="9"/>
        <v>0</v>
      </c>
      <c r="G43" s="926">
        <f t="shared" si="9"/>
        <v>0</v>
      </c>
      <c r="H43" s="926">
        <f t="shared" si="9"/>
        <v>0</v>
      </c>
      <c r="I43" s="926">
        <f t="shared" si="9"/>
        <v>0</v>
      </c>
      <c r="J43" s="926">
        <f t="shared" si="9"/>
        <v>0</v>
      </c>
      <c r="K43" s="649">
        <f t="shared" si="9"/>
        <v>0</v>
      </c>
      <c r="L43" s="648">
        <f>SUM(D43:INDEX(D43:K43,0,MATCH('RFPR cover'!$C$7,$D$6:$K$6,0)))</f>
        <v>0.31185000000000002</v>
      </c>
      <c r="M43" s="649">
        <f t="shared" si="5"/>
        <v>0.31185000000000002</v>
      </c>
    </row>
    <row r="44" spans="1:14" s="2" customFormat="1">
      <c r="A44" s="161" t="str">
        <f t="shared" si="3"/>
        <v>f</v>
      </c>
      <c r="B44" s="35" t="str">
        <f>$B$16&amp;""</f>
        <v/>
      </c>
      <c r="C44" s="156" t="str">
        <f>'RFPR cover'!$C$14</f>
        <v>£m 12/13</v>
      </c>
      <c r="D44" s="648">
        <f>D71</f>
        <v>0</v>
      </c>
      <c r="E44" s="926">
        <f t="shared" ref="E44:K44" si="10">E71</f>
        <v>0</v>
      </c>
      <c r="F44" s="926">
        <f t="shared" si="10"/>
        <v>0</v>
      </c>
      <c r="G44" s="926">
        <f t="shared" si="10"/>
        <v>0</v>
      </c>
      <c r="H44" s="926">
        <f t="shared" si="10"/>
        <v>0</v>
      </c>
      <c r="I44" s="926">
        <f t="shared" si="10"/>
        <v>0</v>
      </c>
      <c r="J44" s="926">
        <f t="shared" si="10"/>
        <v>0</v>
      </c>
      <c r="K44" s="649">
        <f t="shared" si="10"/>
        <v>0</v>
      </c>
      <c r="L44" s="648">
        <f>SUM(D44:INDEX(D44:K44,0,MATCH('RFPR cover'!$C$7,$D$6:$K$6,0)))</f>
        <v>0</v>
      </c>
      <c r="M44" s="649">
        <f t="shared" si="5"/>
        <v>0</v>
      </c>
    </row>
    <row r="45" spans="1:14" s="2" customFormat="1">
      <c r="A45" s="161" t="str">
        <f t="shared" si="3"/>
        <v>g</v>
      </c>
      <c r="B45" s="35" t="str">
        <f>$B$17&amp;""</f>
        <v/>
      </c>
      <c r="C45" s="156" t="str">
        <f>'RFPR cover'!$C$14</f>
        <v>£m 12/13</v>
      </c>
      <c r="D45" s="927">
        <f>D75</f>
        <v>0</v>
      </c>
      <c r="E45" s="928">
        <f t="shared" ref="E45:K45" si="11">E75</f>
        <v>0</v>
      </c>
      <c r="F45" s="928">
        <f t="shared" si="11"/>
        <v>0</v>
      </c>
      <c r="G45" s="928">
        <f t="shared" si="11"/>
        <v>0</v>
      </c>
      <c r="H45" s="928">
        <f t="shared" si="11"/>
        <v>0</v>
      </c>
      <c r="I45" s="928">
        <f t="shared" si="11"/>
        <v>0</v>
      </c>
      <c r="J45" s="928">
        <f t="shared" si="11"/>
        <v>0</v>
      </c>
      <c r="K45" s="929">
        <f t="shared" si="11"/>
        <v>0</v>
      </c>
      <c r="L45" s="648">
        <f>SUM(D45:INDEX(D45:K45,0,MATCH('RFPR cover'!$C$7,$D$6:$K$6,0)))</f>
        <v>0</v>
      </c>
      <c r="M45" s="649">
        <f t="shared" si="5"/>
        <v>0</v>
      </c>
    </row>
    <row r="46" spans="1:14" s="2" customFormat="1">
      <c r="B46" s="12" t="s">
        <v>197</v>
      </c>
      <c r="C46" s="157" t="str">
        <f>'RFPR cover'!$C$14</f>
        <v>£m 12/13</v>
      </c>
      <c r="D46" s="602">
        <f>SUM(D39:D45)</f>
        <v>8.1049249392016751</v>
      </c>
      <c r="E46" s="603">
        <f t="shared" ref="E46:M46" si="12">SUM(E39:E45)</f>
        <v>11.000206687499999</v>
      </c>
      <c r="F46" s="603">
        <f t="shared" si="12"/>
        <v>9.9296796083333394</v>
      </c>
      <c r="G46" s="603">
        <f t="shared" si="12"/>
        <v>7.1375789935065717</v>
      </c>
      <c r="H46" s="603">
        <f t="shared" si="12"/>
        <v>8.1016113189172412</v>
      </c>
      <c r="I46" s="603">
        <f t="shared" si="12"/>
        <v>9.8414691973812118</v>
      </c>
      <c r="J46" s="603">
        <f t="shared" si="12"/>
        <v>10.452372570969057</v>
      </c>
      <c r="K46" s="604">
        <f t="shared" si="12"/>
        <v>10.287000000000003</v>
      </c>
      <c r="L46" s="933">
        <f t="shared" si="12"/>
        <v>64.567843315809114</v>
      </c>
      <c r="M46" s="603">
        <f t="shared" si="12"/>
        <v>74.854843315809092</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930">
        <f>INDEX($D$11:$K$17,MATCH($A49,$A$11:$A$17,0),0)</f>
        <v>2.5695000000000006</v>
      </c>
      <c r="E49" s="931">
        <f t="shared" ref="E49:K49" si="13">INDEX($D$11:$K$17,MATCH($A49,$A$11:$A$17,0),0)</f>
        <v>2.5243500000000001</v>
      </c>
      <c r="F49" s="931">
        <f t="shared" si="13"/>
        <v>2.8318800000000035</v>
      </c>
      <c r="G49" s="931">
        <f t="shared" si="13"/>
        <v>3.6854851679383849</v>
      </c>
      <c r="H49" s="931">
        <f t="shared" si="13"/>
        <v>4.0120000000000005</v>
      </c>
      <c r="I49" s="931">
        <f t="shared" si="13"/>
        <v>4.0839999999999996</v>
      </c>
      <c r="J49" s="931">
        <f t="shared" si="13"/>
        <v>2.9778065564794178</v>
      </c>
      <c r="K49" s="932">
        <f t="shared" si="13"/>
        <v>3.1</v>
      </c>
      <c r="L49" s="738">
        <f>SUM(D49:INDEX(D49:K49,0,MATCH('RFPR cover'!$C$7,$D$6:$K$6,0)))</f>
        <v>22.685021724417808</v>
      </c>
      <c r="M49" s="739">
        <f>SUM(D49:K49)</f>
        <v>25.78502172441781</v>
      </c>
    </row>
    <row r="50" spans="1:13" s="2" customFormat="1">
      <c r="A50" s="161"/>
      <c r="B50" s="35" t="s">
        <v>194</v>
      </c>
      <c r="C50" s="295" t="s">
        <v>195</v>
      </c>
      <c r="D50" s="834">
        <f>IF($C50=$B$33,$B$33,INDEX(Data!$G$14:$G$30,MATCH('R5 - Output Incentives'!D$6+RIGHT('R5 - Output Incentives'!$C50,2),Data!$C$14:$C$30,0),0))</f>
        <v>0.19</v>
      </c>
      <c r="E50" s="835">
        <f>IF($C50=$B$33,$B$33,INDEX(Data!$G$14:$G$30,MATCH('R5 - Output Incentives'!E$6+RIGHT('R5 - Output Incentives'!$C50,2),Data!$C$14:$C$30,0),0))</f>
        <v>0.19</v>
      </c>
      <c r="F50" s="835">
        <f>IF($C50=$B$33,$B$33,INDEX(Data!$G$14:$G$30,MATCH('R5 - Output Incentives'!F$6+RIGHT('R5 - Output Incentives'!$C50,2),Data!$C$14:$C$30,0),0))</f>
        <v>0.19</v>
      </c>
      <c r="G50" s="835">
        <f>IF($C50=$B$33,$B$33,INDEX(Data!$G$14:$G$30,MATCH('R5 - Output Incentives'!G$6+RIGHT('R5 - Output Incentives'!$C50,2),Data!$C$14:$C$30,0),0))</f>
        <v>0.19</v>
      </c>
      <c r="H50" s="835">
        <f>IF($C50=$B$33,$B$33,INDEX(Data!$G$14:$G$30,MATCH('R5 - Output Incentives'!H$6+RIGHT('R5 - Output Incentives'!$C50,2),Data!$C$14:$C$30,0),0))</f>
        <v>0.19</v>
      </c>
      <c r="I50" s="835">
        <f>IF($C50=$B$33,$B$33,INDEX(Data!$G$14:$G$30,MATCH('R5 - Output Incentives'!I$6+RIGHT('R5 - Output Incentives'!$C50,2),Data!$C$14:$C$30,0),0))</f>
        <v>0.19</v>
      </c>
      <c r="J50" s="835">
        <f>IF($C50=$B$33,$B$33,INDEX(Data!$G$14:$G$30,MATCH('R5 - Output Incentives'!J$6+RIGHT('R5 - Output Incentives'!$C50,2),Data!$C$14:$C$30,0),0))</f>
        <v>0.19</v>
      </c>
      <c r="K50" s="836">
        <f>IF($C50=$B$33,$B$33,INDEX(Data!$G$14:$G$30,MATCH('R5 - Output Incentives'!K$6+RIGHT('R5 - Output Incentives'!$C50,2),Data!$C$14:$C$30,0),0))</f>
        <v>0.19</v>
      </c>
      <c r="L50" s="740"/>
      <c r="M50" s="741"/>
    </row>
    <row r="51" spans="1:13" s="2" customFormat="1">
      <c r="A51" s="161"/>
      <c r="B51" s="35" t="s">
        <v>203</v>
      </c>
      <c r="C51" s="156"/>
      <c r="D51" s="602">
        <f>IFERROR(D49*(1-D50),0)</f>
        <v>2.0812950000000008</v>
      </c>
      <c r="E51" s="603">
        <f t="shared" ref="E51:K51" si="14">IFERROR(E49*(1-E50),0)</f>
        <v>2.0447235000000004</v>
      </c>
      <c r="F51" s="603">
        <f t="shared" si="14"/>
        <v>2.2938228000000032</v>
      </c>
      <c r="G51" s="603">
        <f t="shared" si="14"/>
        <v>2.9852429860300917</v>
      </c>
      <c r="H51" s="603">
        <f t="shared" si="14"/>
        <v>3.2497200000000004</v>
      </c>
      <c r="I51" s="603">
        <f t="shared" si="14"/>
        <v>3.3080400000000001</v>
      </c>
      <c r="J51" s="603">
        <f t="shared" si="14"/>
        <v>2.4120233107483284</v>
      </c>
      <c r="K51" s="603">
        <f t="shared" si="14"/>
        <v>2.5110000000000001</v>
      </c>
      <c r="L51" s="642">
        <f>SUM(D51:INDEX(D51:K51,0,MATCH('RFPR cover'!$C$7,$D$6:$K$6,0)))</f>
        <v>18.374867596778426</v>
      </c>
      <c r="M51" s="643">
        <f>SUM(D51:K51)</f>
        <v>20.885867596778425</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930">
        <f>INDEX($D$11:$K$17,MATCH($A53,$A$11:$A$17,0),0)</f>
        <v>6.4745755729166703</v>
      </c>
      <c r="E53" s="931">
        <f t="shared" ref="E53:K53" si="15">INDEX($D$11:$K$17,MATCH($A53,$A$11:$A$17,0),0)</f>
        <v>10.071152083333331</v>
      </c>
      <c r="F53" s="931">
        <f t="shared" si="15"/>
        <v>8.8269837139917708</v>
      </c>
      <c r="G53" s="931">
        <f t="shared" si="15"/>
        <v>4.526340749970962</v>
      </c>
      <c r="H53" s="931">
        <f t="shared" si="15"/>
        <v>5.3921091947831883</v>
      </c>
      <c r="I53" s="931">
        <f t="shared" si="15"/>
        <v>7.5132796890886562</v>
      </c>
      <c r="J53" s="931">
        <f t="shared" si="15"/>
        <v>9.3764830932994805</v>
      </c>
      <c r="K53" s="932">
        <f t="shared" si="15"/>
        <v>9</v>
      </c>
      <c r="L53" s="644">
        <f>SUM(D53:INDEX(D53:K53,0,MATCH('RFPR cover'!$C$7,$D$6:$K$6,0)))</f>
        <v>52.180924097384064</v>
      </c>
      <c r="M53" s="645">
        <f>SUM(D53:K53)</f>
        <v>61.180924097384064</v>
      </c>
    </row>
    <row r="54" spans="1:13" s="2" customFormat="1">
      <c r="A54" s="161"/>
      <c r="B54" s="35" t="s">
        <v>194</v>
      </c>
      <c r="C54" s="295" t="s">
        <v>195</v>
      </c>
      <c r="D54" s="834">
        <f>IF($C54=$B$33,$B$33,INDEX(Data!$G$14:$G$30,MATCH('R5 - Output Incentives'!D$6+RIGHT('R5 - Output Incentives'!$C54,2),Data!$C$14:$C$30,0),0))</f>
        <v>0.19</v>
      </c>
      <c r="E54" s="835">
        <f>IF($C54=$B$33,$B$33,INDEX(Data!$G$14:$G$30,MATCH('R5 - Output Incentives'!E$6+RIGHT('R5 - Output Incentives'!$C54,2),Data!$C$14:$C$30,0),0))</f>
        <v>0.19</v>
      </c>
      <c r="F54" s="835">
        <f>IF($C54=$B$33,$B$33,INDEX(Data!$G$14:$G$30,MATCH('R5 - Output Incentives'!F$6+RIGHT('R5 - Output Incentives'!$C54,2),Data!$C$14:$C$30,0),0))</f>
        <v>0.19</v>
      </c>
      <c r="G54" s="835">
        <f>IF($C54=$B$33,$B$33,INDEX(Data!$G$14:$G$30,MATCH('R5 - Output Incentives'!G$6+RIGHT('R5 - Output Incentives'!$C54,2),Data!$C$14:$C$30,0),0))</f>
        <v>0.19</v>
      </c>
      <c r="H54" s="835">
        <f>IF($C54=$B$33,$B$33,INDEX(Data!$G$14:$G$30,MATCH('R5 - Output Incentives'!H$6+RIGHT('R5 - Output Incentives'!$C54,2),Data!$C$14:$C$30,0),0))</f>
        <v>0.19</v>
      </c>
      <c r="I54" s="835">
        <f>IF($C54=$B$33,$B$33,INDEX(Data!$G$14:$G$30,MATCH('R5 - Output Incentives'!I$6+RIGHT('R5 - Output Incentives'!$C54,2),Data!$C$14:$C$30,0),0))</f>
        <v>0.19</v>
      </c>
      <c r="J54" s="835">
        <f>IF($C54=$B$33,$B$33,INDEX(Data!$G$14:$G$30,MATCH('R5 - Output Incentives'!J$6+RIGHT('R5 - Output Incentives'!$C54,2),Data!$C$14:$C$30,0),0))</f>
        <v>0.19</v>
      </c>
      <c r="K54" s="836">
        <f>IF($C54=$B$33,$B$33,INDEX(Data!$G$14:$G$30,MATCH('R5 - Output Incentives'!K$6+RIGHT('R5 - Output Incentives'!$C54,2),Data!$C$14:$C$30,0),0))</f>
        <v>0.19</v>
      </c>
      <c r="L54" s="740"/>
      <c r="M54" s="741"/>
    </row>
    <row r="55" spans="1:13" s="2" customFormat="1">
      <c r="A55" s="161"/>
      <c r="B55" s="35" t="s">
        <v>203</v>
      </c>
      <c r="C55" s="156"/>
      <c r="D55" s="602">
        <f>IFERROR(D53*(1-D54),0)</f>
        <v>5.2444062140625034</v>
      </c>
      <c r="E55" s="603">
        <f t="shared" ref="E55:K55" si="16">IFERROR(E53*(1-E54),0)</f>
        <v>8.1576331874999983</v>
      </c>
      <c r="F55" s="603">
        <f t="shared" si="16"/>
        <v>7.1498568083333351</v>
      </c>
      <c r="G55" s="603">
        <f t="shared" si="16"/>
        <v>3.6663360074764797</v>
      </c>
      <c r="H55" s="603">
        <f t="shared" si="16"/>
        <v>4.3676084477743826</v>
      </c>
      <c r="I55" s="603">
        <f t="shared" si="16"/>
        <v>6.0857565481618119</v>
      </c>
      <c r="J55" s="603">
        <f t="shared" si="16"/>
        <v>7.5949513055725797</v>
      </c>
      <c r="K55" s="603">
        <f t="shared" si="16"/>
        <v>7.2900000000000009</v>
      </c>
      <c r="L55" s="642">
        <f>SUM(D55:INDEX(D55:K55,0,MATCH('RFPR cover'!$C$7,$D$6:$K$6,0)))</f>
        <v>42.266548518881095</v>
      </c>
      <c r="M55" s="643">
        <f>SUM(D55:K55)</f>
        <v>49.556548518881094</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930">
        <f>INDEX($D$11:$K$17,MATCH($A57,$A$11:$A$17,0),0)</f>
        <v>0</v>
      </c>
      <c r="E57" s="931">
        <f t="shared" ref="E57:K57" si="17">INDEX($D$11:$K$17,MATCH($A57,$A$11:$A$17,0),0)</f>
        <v>0</v>
      </c>
      <c r="F57" s="931">
        <f t="shared" si="17"/>
        <v>0</v>
      </c>
      <c r="G57" s="931">
        <f t="shared" si="17"/>
        <v>0</v>
      </c>
      <c r="H57" s="931">
        <f t="shared" si="17"/>
        <v>0</v>
      </c>
      <c r="I57" s="931">
        <f t="shared" si="17"/>
        <v>0</v>
      </c>
      <c r="J57" s="931">
        <f t="shared" si="17"/>
        <v>0</v>
      </c>
      <c r="K57" s="932">
        <f t="shared" si="17"/>
        <v>0</v>
      </c>
      <c r="L57" s="644">
        <f>SUM(D57:INDEX(D57:K57,0,MATCH('RFPR cover'!$C$7,$D$6:$K$6,0)))</f>
        <v>0</v>
      </c>
      <c r="M57" s="645">
        <f>SUM(D57:K57)</f>
        <v>0</v>
      </c>
    </row>
    <row r="58" spans="1:13" s="2" customFormat="1">
      <c r="A58" s="161"/>
      <c r="B58" s="35" t="s">
        <v>194</v>
      </c>
      <c r="C58" s="295" t="s">
        <v>201</v>
      </c>
      <c r="D58" s="834">
        <f>IF($C58=$B$33,$B$33,INDEX(Data!$G$14:$G$30,MATCH('R5 - Output Incentives'!D$6+RIGHT('R5 - Output Incentives'!$C58,2),Data!$C$14:$C$30,0),0))</f>
        <v>0.19</v>
      </c>
      <c r="E58" s="835">
        <f>IF($C58=$B$33,$B$33,INDEX(Data!$G$14:$G$30,MATCH('R5 - Output Incentives'!E$6+RIGHT('R5 - Output Incentives'!$C58,2),Data!$C$14:$C$30,0),0))</f>
        <v>0.19</v>
      </c>
      <c r="F58" s="835">
        <f>IF($C58=$B$33,$B$33,INDEX(Data!$G$14:$G$30,MATCH('R5 - Output Incentives'!F$6+RIGHT('R5 - Output Incentives'!$C58,2),Data!$C$14:$C$30,0),0))</f>
        <v>0.19</v>
      </c>
      <c r="G58" s="835">
        <f>IF($C58=$B$33,$B$33,INDEX(Data!$G$14:$G$30,MATCH('R5 - Output Incentives'!G$6+RIGHT('R5 - Output Incentives'!$C58,2),Data!$C$14:$C$30,0),0))</f>
        <v>0.19</v>
      </c>
      <c r="H58" s="835">
        <f>IF($C58=$B$33,$B$33,INDEX(Data!$G$14:$G$30,MATCH('R5 - Output Incentives'!H$6+RIGHT('R5 - Output Incentives'!$C58,2),Data!$C$14:$C$30,0),0))</f>
        <v>0.19</v>
      </c>
      <c r="I58" s="835">
        <f>IF($C58=$B$33,$B$33,INDEX(Data!$G$14:$G$30,MATCH('R5 - Output Incentives'!I$6+RIGHT('R5 - Output Incentives'!$C58,2),Data!$C$14:$C$30,0),0))</f>
        <v>0.19</v>
      </c>
      <c r="J58" s="835">
        <f>IF($C58=$B$33,$B$33,INDEX(Data!$G$14:$G$30,MATCH('R5 - Output Incentives'!J$6+RIGHT('R5 - Output Incentives'!$C58,2),Data!$C$14:$C$30,0),0))</f>
        <v>0.19</v>
      </c>
      <c r="K58" s="836">
        <f>IF($C58=$B$33,$B$33,INDEX(Data!$G$14:$G$30,MATCH('R5 - Output Incentives'!K$6+RIGHT('R5 - Output Incentives'!$C58,2),Data!$C$14:$C$30,0),0))</f>
        <v>0.19</v>
      </c>
      <c r="L58" s="740"/>
      <c r="M58" s="741"/>
    </row>
    <row r="59" spans="1:13" s="2" customFormat="1">
      <c r="A59" s="161"/>
      <c r="B59" s="35" t="s">
        <v>203</v>
      </c>
      <c r="C59" s="156"/>
      <c r="D59" s="602">
        <f>IFERROR(D57*(1-D58),0)</f>
        <v>0</v>
      </c>
      <c r="E59" s="603">
        <f t="shared" ref="E59:K59" si="18">IFERROR(E57*(1-E58),0)</f>
        <v>0</v>
      </c>
      <c r="F59" s="603">
        <f t="shared" si="18"/>
        <v>0</v>
      </c>
      <c r="G59" s="603">
        <f t="shared" si="18"/>
        <v>0</v>
      </c>
      <c r="H59" s="603">
        <f t="shared" si="18"/>
        <v>0</v>
      </c>
      <c r="I59" s="603">
        <f t="shared" si="18"/>
        <v>0</v>
      </c>
      <c r="J59" s="603">
        <f t="shared" si="18"/>
        <v>0</v>
      </c>
      <c r="K59" s="603">
        <f t="shared" si="18"/>
        <v>0</v>
      </c>
      <c r="L59" s="642">
        <f>SUM(D59:INDEX(D59:K59,0,MATCH('RFPR cover'!$C$7,$D$6:$K$6,0)))</f>
        <v>0</v>
      </c>
      <c r="M59" s="643">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930">
        <f>INDEX($D$11:$K$17,MATCH($A61,$A$11:$A$17,0),0)</f>
        <v>0.96200459893724699</v>
      </c>
      <c r="E61" s="931">
        <f t="shared" ref="E61:K61" si="19">INDEX($D$11:$K$17,MATCH($A61,$A$11:$A$17,0),0)</f>
        <v>0.6</v>
      </c>
      <c r="F61" s="931">
        <f t="shared" si="19"/>
        <v>0.6</v>
      </c>
      <c r="G61" s="931">
        <f t="shared" si="19"/>
        <v>0.6</v>
      </c>
      <c r="H61" s="931">
        <f t="shared" si="19"/>
        <v>0.5978800878306878</v>
      </c>
      <c r="I61" s="931">
        <f t="shared" si="19"/>
        <v>0.55268228298691302</v>
      </c>
      <c r="J61" s="931">
        <f t="shared" si="19"/>
        <v>0.54987401808413527</v>
      </c>
      <c r="K61" s="932">
        <f t="shared" si="19"/>
        <v>0.6</v>
      </c>
      <c r="L61" s="644">
        <f>SUM(D61:INDEX(D61:K61,0,MATCH('RFPR cover'!$C$7,$D$6:$K$6,0)))</f>
        <v>4.462440987838983</v>
      </c>
      <c r="M61" s="645">
        <f>SUM(D61:K61)</f>
        <v>5.0624409878389827</v>
      </c>
    </row>
    <row r="62" spans="1:13" s="2" customFormat="1">
      <c r="A62" s="161"/>
      <c r="B62" s="35" t="s">
        <v>194</v>
      </c>
      <c r="C62" s="295" t="s">
        <v>195</v>
      </c>
      <c r="D62" s="834">
        <f>IF($C62=$B$33,$B$33,INDEX(Data!$G$14:$G$30,MATCH('R5 - Output Incentives'!D$6+RIGHT('R5 - Output Incentives'!$C62,2),Data!$C$14:$C$30,0),0))</f>
        <v>0.19</v>
      </c>
      <c r="E62" s="835">
        <f>IF($C62=$B$33,$B$33,INDEX(Data!$G$14:$G$30,MATCH('R5 - Output Incentives'!E$6+RIGHT('R5 - Output Incentives'!$C62,2),Data!$C$14:$C$30,0),0))</f>
        <v>0.19</v>
      </c>
      <c r="F62" s="835">
        <f>IF($C62=$B$33,$B$33,INDEX(Data!$G$14:$G$30,MATCH('R5 - Output Incentives'!F$6+RIGHT('R5 - Output Incentives'!$C62,2),Data!$C$14:$C$30,0),0))</f>
        <v>0.19</v>
      </c>
      <c r="G62" s="835">
        <f>IF($C62=$B$33,$B$33,INDEX(Data!$G$14:$G$30,MATCH('R5 - Output Incentives'!G$6+RIGHT('R5 - Output Incentives'!$C62,2),Data!$C$14:$C$30,0),0))</f>
        <v>0.19</v>
      </c>
      <c r="H62" s="835">
        <f>IF($C62=$B$33,$B$33,INDEX(Data!$G$14:$G$30,MATCH('R5 - Output Incentives'!H$6+RIGHT('R5 - Output Incentives'!$C62,2),Data!$C$14:$C$30,0),0))</f>
        <v>0.19</v>
      </c>
      <c r="I62" s="835">
        <f>IF($C62=$B$33,$B$33,INDEX(Data!$G$14:$G$30,MATCH('R5 - Output Incentives'!I$6+RIGHT('R5 - Output Incentives'!$C62,2),Data!$C$14:$C$30,0),0))</f>
        <v>0.19</v>
      </c>
      <c r="J62" s="835">
        <f>IF($C62=$B$33,$B$33,INDEX(Data!$G$14:$G$30,MATCH('R5 - Output Incentives'!J$6+RIGHT('R5 - Output Incentives'!$C62,2),Data!$C$14:$C$30,0),0))</f>
        <v>0.19</v>
      </c>
      <c r="K62" s="836">
        <f>IF($C62=$B$33,$B$33,INDEX(Data!$G$14:$G$30,MATCH('R5 - Output Incentives'!K$6+RIGHT('R5 - Output Incentives'!$C62,2),Data!$C$14:$C$30,0),0))</f>
        <v>0.19</v>
      </c>
      <c r="L62" s="740"/>
      <c r="M62" s="741"/>
    </row>
    <row r="63" spans="1:13" s="2" customFormat="1">
      <c r="A63" s="161"/>
      <c r="B63" s="35" t="s">
        <v>203</v>
      </c>
      <c r="C63" s="156"/>
      <c r="D63" s="602">
        <f>IFERROR(D61*(1-D62),0)</f>
        <v>0.77922372513917015</v>
      </c>
      <c r="E63" s="603">
        <f t="shared" ref="E63:K63" si="20">IFERROR(E61*(1-E62),0)</f>
        <v>0.48599999999999999</v>
      </c>
      <c r="F63" s="603">
        <f t="shared" si="20"/>
        <v>0.48599999999999999</v>
      </c>
      <c r="G63" s="603">
        <f t="shared" si="20"/>
        <v>0.48599999999999999</v>
      </c>
      <c r="H63" s="603">
        <f t="shared" si="20"/>
        <v>0.48428287114285717</v>
      </c>
      <c r="I63" s="603">
        <f t="shared" si="20"/>
        <v>0.44767264921939959</v>
      </c>
      <c r="J63" s="603">
        <f t="shared" si="20"/>
        <v>0.44539795464814957</v>
      </c>
      <c r="K63" s="603">
        <f t="shared" si="20"/>
        <v>0.48599999999999999</v>
      </c>
      <c r="L63" s="642">
        <f>SUM(D63:INDEX(D63:K63,0,MATCH('RFPR cover'!$C$7,$D$6:$K$6,0)))</f>
        <v>3.6145772001495766</v>
      </c>
      <c r="M63" s="643">
        <f>SUM(D63:K63)</f>
        <v>4.1005772001495764</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930">
        <f>INDEX($D$11:$K$17,MATCH($A65,$A$11:$A$17,0),0)</f>
        <v>0</v>
      </c>
      <c r="E65" s="931">
        <f t="shared" ref="E65:K65" si="21">INDEX($D$11:$K$17,MATCH($A65,$A$11:$A$17,0),0)</f>
        <v>0.38500000000000001</v>
      </c>
      <c r="F65" s="931">
        <f t="shared" si="21"/>
        <v>0</v>
      </c>
      <c r="G65" s="931">
        <f t="shared" si="21"/>
        <v>0</v>
      </c>
      <c r="H65" s="931">
        <f t="shared" si="21"/>
        <v>0</v>
      </c>
      <c r="I65" s="931">
        <f t="shared" si="21"/>
        <v>0</v>
      </c>
      <c r="J65" s="931">
        <f t="shared" si="21"/>
        <v>0</v>
      </c>
      <c r="K65" s="932">
        <f t="shared" si="21"/>
        <v>0</v>
      </c>
      <c r="L65" s="644">
        <f>SUM(D65:INDEX(D65:K65,0,MATCH('RFPR cover'!$C$7,$D$6:$K$6,0)))</f>
        <v>0.38500000000000001</v>
      </c>
      <c r="M65" s="645">
        <f>SUM(D65:K65)</f>
        <v>0.38500000000000001</v>
      </c>
    </row>
    <row r="66" spans="1:14" s="2" customFormat="1">
      <c r="A66" s="161"/>
      <c r="B66" s="35" t="s">
        <v>194</v>
      </c>
      <c r="C66" s="295" t="s">
        <v>202</v>
      </c>
      <c r="D66" s="834">
        <f>IF($C66=$B$33,$B$33,INDEX(Data!$G$14:$G$30,MATCH('R5 - Output Incentives'!D$6+RIGHT('R5 - Output Incentives'!$C66,2),Data!$C$14:$C$30,0),0))</f>
        <v>0.2</v>
      </c>
      <c r="E66" s="835">
        <f>IF($C66=$B$33,$B$33,INDEX(Data!$G$14:$G$30,MATCH('R5 - Output Incentives'!E$6+RIGHT('R5 - Output Incentives'!$C66,2),Data!$C$14:$C$30,0),0))</f>
        <v>0.19</v>
      </c>
      <c r="F66" s="835">
        <f>IF($C66=$B$33,$B$33,INDEX(Data!$G$14:$G$30,MATCH('R5 - Output Incentives'!F$6+RIGHT('R5 - Output Incentives'!$C66,2),Data!$C$14:$C$30,0),0))</f>
        <v>0.19</v>
      </c>
      <c r="G66" s="835">
        <f>IF($C66=$B$33,$B$33,INDEX(Data!$G$14:$G$30,MATCH('R5 - Output Incentives'!G$6+RIGHT('R5 - Output Incentives'!$C66,2),Data!$C$14:$C$30,0),0))</f>
        <v>0.19</v>
      </c>
      <c r="H66" s="835">
        <f>IF($C66=$B$33,$B$33,INDEX(Data!$G$14:$G$30,MATCH('R5 - Output Incentives'!H$6+RIGHT('R5 - Output Incentives'!$C66,2),Data!$C$14:$C$30,0),0))</f>
        <v>0.19</v>
      </c>
      <c r="I66" s="835">
        <f>IF($C66=$B$33,$B$33,INDEX(Data!$G$14:$G$30,MATCH('R5 - Output Incentives'!I$6+RIGHT('R5 - Output Incentives'!$C66,2),Data!$C$14:$C$30,0),0))</f>
        <v>0.19</v>
      </c>
      <c r="J66" s="835">
        <f>IF($C66=$B$33,$B$33,INDEX(Data!$G$14:$G$30,MATCH('R5 - Output Incentives'!J$6+RIGHT('R5 - Output Incentives'!$C66,2),Data!$C$14:$C$30,0),0))</f>
        <v>0.19</v>
      </c>
      <c r="K66" s="836">
        <f>IF($C66=$B$33,$B$33,INDEX(Data!$G$14:$G$30,MATCH('R5 - Output Incentives'!K$6+RIGHT('R5 - Output Incentives'!$C66,2),Data!$C$14:$C$30,0),0))</f>
        <v>0.19</v>
      </c>
      <c r="L66" s="740"/>
      <c r="M66" s="741"/>
    </row>
    <row r="67" spans="1:14" s="2" customFormat="1">
      <c r="A67" s="161"/>
      <c r="B67" s="35" t="s">
        <v>203</v>
      </c>
      <c r="C67" s="156"/>
      <c r="D67" s="602">
        <f>IFERROR(D65*(1-D66),0)</f>
        <v>0</v>
      </c>
      <c r="E67" s="603">
        <f t="shared" ref="E67:K67" si="22">IFERROR(E65*(1-E66),0)</f>
        <v>0.31185000000000002</v>
      </c>
      <c r="F67" s="603">
        <f t="shared" si="22"/>
        <v>0</v>
      </c>
      <c r="G67" s="603">
        <f t="shared" si="22"/>
        <v>0</v>
      </c>
      <c r="H67" s="603">
        <f t="shared" si="22"/>
        <v>0</v>
      </c>
      <c r="I67" s="603">
        <f t="shared" si="22"/>
        <v>0</v>
      </c>
      <c r="J67" s="603">
        <f t="shared" si="22"/>
        <v>0</v>
      </c>
      <c r="K67" s="603">
        <f t="shared" si="22"/>
        <v>0</v>
      </c>
      <c r="L67" s="642">
        <f>SUM(D67:INDEX(D67:K67,0,MATCH('RFPR cover'!$C$7,$D$6:$K$6,0)))</f>
        <v>0.31185000000000002</v>
      </c>
      <c r="M67" s="643">
        <f>SUM(D67:K67)</f>
        <v>0.31185000000000002</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930">
        <f>INDEX($D$11:$K$17,MATCH($A69,$A$11:$A$17,0),0)</f>
        <v>0</v>
      </c>
      <c r="E69" s="931">
        <f t="shared" ref="E69:K69" si="23">INDEX($D$11:$K$17,MATCH($A69,$A$11:$A$17,0),0)</f>
        <v>0</v>
      </c>
      <c r="F69" s="931">
        <f t="shared" si="23"/>
        <v>0</v>
      </c>
      <c r="G69" s="931">
        <f t="shared" si="23"/>
        <v>0</v>
      </c>
      <c r="H69" s="931">
        <f t="shared" si="23"/>
        <v>0</v>
      </c>
      <c r="I69" s="931">
        <f t="shared" si="23"/>
        <v>0</v>
      </c>
      <c r="J69" s="931">
        <f t="shared" si="23"/>
        <v>0</v>
      </c>
      <c r="K69" s="932">
        <f t="shared" si="23"/>
        <v>0</v>
      </c>
      <c r="L69" s="644">
        <f>SUM(D69:INDEX(D69:K69,0,MATCH('RFPR cover'!$C$7,$D$6:$K$6,0)))</f>
        <v>0</v>
      </c>
      <c r="M69" s="645">
        <f>SUM(D69:K69)</f>
        <v>0</v>
      </c>
    </row>
    <row r="70" spans="1:14" s="2" customFormat="1">
      <c r="A70" s="161"/>
      <c r="B70" s="35" t="s">
        <v>194</v>
      </c>
      <c r="C70" s="295" t="s">
        <v>202</v>
      </c>
      <c r="D70" s="930">
        <f>IF($C70=$B$33,$B$33,INDEX(Data!$G$14:$G$30,MATCH('R5 - Output Incentives'!D$6+RIGHT('R5 - Output Incentives'!$C70,2),Data!$C$14:$C$30,0),0))</f>
        <v>0.2</v>
      </c>
      <c r="E70" s="931">
        <f>IF($C70=$B$33,$B$33,INDEX(Data!$G$14:$G$30,MATCH('R5 - Output Incentives'!E$6+RIGHT('R5 - Output Incentives'!$C70,2),Data!$C$14:$C$30,0),0))</f>
        <v>0.19</v>
      </c>
      <c r="F70" s="931">
        <f>IF($C70=$B$33,$B$33,INDEX(Data!$G$14:$G$30,MATCH('R5 - Output Incentives'!F$6+RIGHT('R5 - Output Incentives'!$C70,2),Data!$C$14:$C$30,0),0))</f>
        <v>0.19</v>
      </c>
      <c r="G70" s="931">
        <f>IF($C70=$B$33,$B$33,INDEX(Data!$G$14:$G$30,MATCH('R5 - Output Incentives'!G$6+RIGHT('R5 - Output Incentives'!$C70,2),Data!$C$14:$C$30,0),0))</f>
        <v>0.19</v>
      </c>
      <c r="H70" s="931">
        <f>IF($C70=$B$33,$B$33,INDEX(Data!$G$14:$G$30,MATCH('R5 - Output Incentives'!H$6+RIGHT('R5 - Output Incentives'!$C70,2),Data!$C$14:$C$30,0),0))</f>
        <v>0.19</v>
      </c>
      <c r="I70" s="931">
        <f>IF($C70=$B$33,$B$33,INDEX(Data!$G$14:$G$30,MATCH('R5 - Output Incentives'!I$6+RIGHT('R5 - Output Incentives'!$C70,2),Data!$C$14:$C$30,0),0))</f>
        <v>0.19</v>
      </c>
      <c r="J70" s="931">
        <f>IF($C70=$B$33,$B$33,INDEX(Data!$G$14:$G$30,MATCH('R5 - Output Incentives'!J$6+RIGHT('R5 - Output Incentives'!$C70,2),Data!$C$14:$C$30,0),0))</f>
        <v>0.19</v>
      </c>
      <c r="K70" s="932">
        <f>IF($C70=$B$33,$B$33,INDEX(Data!$G$14:$G$30,MATCH('R5 - Output Incentives'!K$6+RIGHT('R5 - Output Incentives'!$C70,2),Data!$C$14:$C$30,0),0))</f>
        <v>0.19</v>
      </c>
      <c r="L70" s="740"/>
      <c r="M70" s="741"/>
    </row>
    <row r="71" spans="1:14" s="2" customFormat="1">
      <c r="A71" s="161"/>
      <c r="B71" s="35" t="s">
        <v>203</v>
      </c>
      <c r="C71" s="156"/>
      <c r="D71" s="602">
        <f>IFERROR(D69*(1-D70),0)</f>
        <v>0</v>
      </c>
      <c r="E71" s="603">
        <f t="shared" ref="E71:K71" si="24">IFERROR(E69*(1-E70),0)</f>
        <v>0</v>
      </c>
      <c r="F71" s="603">
        <f t="shared" si="24"/>
        <v>0</v>
      </c>
      <c r="G71" s="603">
        <f t="shared" si="24"/>
        <v>0</v>
      </c>
      <c r="H71" s="603">
        <f t="shared" si="24"/>
        <v>0</v>
      </c>
      <c r="I71" s="603">
        <f t="shared" si="24"/>
        <v>0</v>
      </c>
      <c r="J71" s="603">
        <f t="shared" si="24"/>
        <v>0</v>
      </c>
      <c r="K71" s="603">
        <f t="shared" si="24"/>
        <v>0</v>
      </c>
      <c r="L71" s="642">
        <f>SUM(D71:INDEX(D71:K71,0,MATCH('RFPR cover'!$C$7,$D$6:$K$6,0)))</f>
        <v>0</v>
      </c>
      <c r="M71" s="643">
        <f>SUM(D71:K71)</f>
        <v>0</v>
      </c>
    </row>
    <row r="72" spans="1:14" s="2" customFormat="1">
      <c r="A72" s="161"/>
      <c r="B72" s="51"/>
      <c r="C72" s="157"/>
      <c r="D72" s="157"/>
      <c r="E72" s="157"/>
      <c r="F72" s="157"/>
      <c r="G72" s="157"/>
      <c r="H72" s="157"/>
      <c r="I72" s="157"/>
      <c r="J72" s="157"/>
      <c r="K72" s="157"/>
      <c r="L72" s="157"/>
      <c r="M72" s="157"/>
    </row>
    <row r="73" spans="1:14" s="2" customFormat="1">
      <c r="A73" s="161" t="s">
        <v>464</v>
      </c>
      <c r="B73" s="172" t="str">
        <f>INDEX($B$11:$B$17,MATCH($A73,$A$11:$A$17,0),0)&amp;""</f>
        <v/>
      </c>
      <c r="C73" s="156" t="str">
        <f>'RFPR cover'!$C$14</f>
        <v>£m 12/13</v>
      </c>
      <c r="D73" s="930">
        <f>INDEX($D$11:$K$17,MATCH($A73,$A$11:$A$17,0),0)</f>
        <v>0</v>
      </c>
      <c r="E73" s="931">
        <f t="shared" ref="E73:K73" si="25">INDEX($D$11:$K$17,MATCH($A73,$A$11:$A$17,0),0)</f>
        <v>0</v>
      </c>
      <c r="F73" s="931">
        <f t="shared" si="25"/>
        <v>0</v>
      </c>
      <c r="G73" s="931">
        <f t="shared" si="25"/>
        <v>0</v>
      </c>
      <c r="H73" s="931">
        <f t="shared" si="25"/>
        <v>0</v>
      </c>
      <c r="I73" s="931">
        <f t="shared" si="25"/>
        <v>0</v>
      </c>
      <c r="J73" s="931">
        <f t="shared" si="25"/>
        <v>0</v>
      </c>
      <c r="K73" s="932">
        <f t="shared" si="25"/>
        <v>0</v>
      </c>
      <c r="L73" s="644">
        <f>SUM(D73:INDEX(D73:K73,0,MATCH('RFPR cover'!$C$7,$D$6:$K$6,0)))</f>
        <v>0</v>
      </c>
      <c r="M73" s="645">
        <f>SUM(D73:K73)</f>
        <v>0</v>
      </c>
    </row>
    <row r="74" spans="1:14" s="2" customFormat="1">
      <c r="A74" s="161"/>
      <c r="B74" s="35" t="s">
        <v>194</v>
      </c>
      <c r="C74" s="295" t="s">
        <v>202</v>
      </c>
      <c r="D74" s="834">
        <f>IF($C74=$B$33,$B$33,INDEX(Data!$G$14:$G$30,MATCH('R5 - Output Incentives'!D$6+RIGHT('R5 - Output Incentives'!$C74,2),Data!$C$14:$C$30,0),0))</f>
        <v>0.2</v>
      </c>
      <c r="E74" s="835">
        <f>IF($C74=$B$33,$B$33,INDEX(Data!$G$14:$G$30,MATCH('R5 - Output Incentives'!E$6+RIGHT('R5 - Output Incentives'!$C74,2),Data!$C$14:$C$30,0),0))</f>
        <v>0.19</v>
      </c>
      <c r="F74" s="835">
        <f>IF($C74=$B$33,$B$33,INDEX(Data!$G$14:$G$30,MATCH('R5 - Output Incentives'!F$6+RIGHT('R5 - Output Incentives'!$C74,2),Data!$C$14:$C$30,0),0))</f>
        <v>0.19</v>
      </c>
      <c r="G74" s="835">
        <f>IF($C74=$B$33,$B$33,INDEX(Data!$G$14:$G$30,MATCH('R5 - Output Incentives'!G$6+RIGHT('R5 - Output Incentives'!$C74,2),Data!$C$14:$C$30,0),0))</f>
        <v>0.19</v>
      </c>
      <c r="H74" s="835">
        <f>IF($C74=$B$33,$B$33,INDEX(Data!$G$14:$G$30,MATCH('R5 - Output Incentives'!H$6+RIGHT('R5 - Output Incentives'!$C74,2),Data!$C$14:$C$30,0),0))</f>
        <v>0.19</v>
      </c>
      <c r="I74" s="835">
        <f>IF($C74=$B$33,$B$33,INDEX(Data!$G$14:$G$30,MATCH('R5 - Output Incentives'!I$6+RIGHT('R5 - Output Incentives'!$C74,2),Data!$C$14:$C$30,0),0))</f>
        <v>0.19</v>
      </c>
      <c r="J74" s="835">
        <f>IF($C74=$B$33,$B$33,INDEX(Data!$G$14:$G$30,MATCH('R5 - Output Incentives'!J$6+RIGHT('R5 - Output Incentives'!$C74,2),Data!$C$14:$C$30,0),0))</f>
        <v>0.19</v>
      </c>
      <c r="K74" s="836">
        <f>IF($C74=$B$33,$B$33,INDEX(Data!$G$14:$G$30,MATCH('R5 - Output Incentives'!K$6+RIGHT('R5 - Output Incentives'!$C74,2),Data!$C$14:$C$30,0),0))</f>
        <v>0.19</v>
      </c>
      <c r="L74" s="740"/>
      <c r="M74" s="741"/>
    </row>
    <row r="75" spans="1:14" s="2" customFormat="1">
      <c r="A75" s="161"/>
      <c r="B75" s="35" t="s">
        <v>203</v>
      </c>
      <c r="C75" s="156"/>
      <c r="D75" s="602">
        <f>IFERROR(D73*(1-D74),0)</f>
        <v>0</v>
      </c>
      <c r="E75" s="603">
        <f t="shared" ref="E75:K75" si="26">IFERROR(E73*(1-E74),0)</f>
        <v>0</v>
      </c>
      <c r="F75" s="603">
        <f t="shared" si="26"/>
        <v>0</v>
      </c>
      <c r="G75" s="603">
        <f t="shared" si="26"/>
        <v>0</v>
      </c>
      <c r="H75" s="603">
        <f t="shared" si="26"/>
        <v>0</v>
      </c>
      <c r="I75" s="603">
        <f t="shared" si="26"/>
        <v>0</v>
      </c>
      <c r="J75" s="603">
        <f t="shared" si="26"/>
        <v>0</v>
      </c>
      <c r="K75" s="603">
        <f t="shared" si="26"/>
        <v>0</v>
      </c>
      <c r="L75" s="642">
        <f>SUM(D75:INDEX(D75:K75,0,MATCH('RFPR cover'!$C$7,$D$6:$K$6,0)))</f>
        <v>0</v>
      </c>
      <c r="M75" s="643">
        <f>SUM(D75:K75)</f>
        <v>0</v>
      </c>
    </row>
    <row r="76" spans="1:14" s="529" customFormat="1" ht="14.25" customHeight="1">
      <c r="A76" s="528"/>
      <c r="C76" s="530"/>
      <c r="D76" s="531"/>
      <c r="E76" s="531"/>
      <c r="F76" s="531"/>
      <c r="G76" s="531"/>
      <c r="H76" s="531"/>
      <c r="I76" s="531"/>
      <c r="J76" s="531"/>
      <c r="K76" s="531"/>
      <c r="L76" s="532"/>
      <c r="M76" s="532"/>
    </row>
    <row r="77" spans="1:14" s="2" customFormat="1">
      <c r="B77" s="117" t="s">
        <v>387</v>
      </c>
      <c r="C77" s="151"/>
      <c r="D77" s="134"/>
      <c r="E77" s="134"/>
      <c r="F77" s="134"/>
      <c r="G77" s="134"/>
      <c r="H77" s="134"/>
      <c r="I77" s="134"/>
      <c r="J77" s="134"/>
      <c r="K77" s="134"/>
      <c r="L77" s="81"/>
      <c r="M77" s="81"/>
      <c r="N77" s="81"/>
    </row>
    <row r="78" spans="1:14" s="2" customFormat="1">
      <c r="B78" s="368" t="s">
        <v>386</v>
      </c>
      <c r="C78" s="292"/>
      <c r="D78" s="293"/>
      <c r="E78" s="293"/>
      <c r="F78" s="293"/>
      <c r="G78" s="293"/>
      <c r="H78" s="293"/>
      <c r="I78" s="293"/>
      <c r="J78" s="293"/>
      <c r="K78" s="293"/>
      <c r="L78" s="294"/>
      <c r="M78" s="294"/>
      <c r="N78" s="294"/>
    </row>
    <row r="79" spans="1:14" s="2" customFormat="1">
      <c r="B79" s="368" t="s">
        <v>388</v>
      </c>
      <c r="C79" s="292"/>
      <c r="D79" s="293"/>
      <c r="E79" s="293"/>
      <c r="F79" s="293"/>
      <c r="G79" s="293"/>
      <c r="H79" s="293"/>
      <c r="I79" s="293"/>
      <c r="J79" s="293"/>
      <c r="K79" s="293"/>
      <c r="L79" s="294"/>
      <c r="M79" s="294"/>
      <c r="N79" s="294"/>
    </row>
    <row r="80" spans="1:14" s="529" customFormat="1">
      <c r="B80" s="534"/>
      <c r="C80" s="535"/>
      <c r="D80" s="536"/>
      <c r="E80" s="536"/>
      <c r="F80" s="536"/>
      <c r="G80" s="536"/>
      <c r="H80" s="536"/>
      <c r="I80" s="536"/>
      <c r="J80" s="536"/>
      <c r="K80" s="536"/>
    </row>
    <row r="81" spans="1:12" s="2" customFormat="1">
      <c r="B81" s="12"/>
      <c r="C81" s="537" t="s">
        <v>389</v>
      </c>
      <c r="D81" s="540" t="str">
        <f t="shared" ref="D81:E81" si="27">IF($C50=$B$33,D$6,IF(D$6-RIGHT($C50,1)&lt;$D$6,"Pre-RIIO",D$6-RIGHT($C50,1)))</f>
        <v>Pre-RIIO</v>
      </c>
      <c r="E81" s="541" t="str">
        <f t="shared" si="27"/>
        <v>Pre-RIIO</v>
      </c>
      <c r="F81" s="541">
        <f t="shared" ref="F81:K81" si="28">IF($C50=$B$33,F$6,IF(F$6-RIGHT($C50,1)&lt;$D$6,"Pre-RIIO",F$6-RIGHT($C50,1)))</f>
        <v>2016</v>
      </c>
      <c r="G81" s="541">
        <f t="shared" si="28"/>
        <v>2017</v>
      </c>
      <c r="H81" s="541">
        <f t="shared" si="28"/>
        <v>2018</v>
      </c>
      <c r="I81" s="541">
        <f t="shared" si="28"/>
        <v>2019</v>
      </c>
      <c r="J81" s="541">
        <f t="shared" si="28"/>
        <v>2020</v>
      </c>
      <c r="K81" s="542">
        <f t="shared" si="28"/>
        <v>2021</v>
      </c>
    </row>
    <row r="82" spans="1:12" s="2" customFormat="1">
      <c r="A82" s="3" t="str">
        <f>A11</f>
        <v>a</v>
      </c>
      <c r="B82" s="130" t="str">
        <f>B11&amp;""</f>
        <v>Broad measure of customer service</v>
      </c>
      <c r="C82" s="137" t="s">
        <v>125</v>
      </c>
      <c r="D82" s="614">
        <v>-2.6260649999999993E-2</v>
      </c>
      <c r="E82" s="615">
        <v>-0.18584459999999994</v>
      </c>
      <c r="F82" s="615">
        <v>2.7244838806580161</v>
      </c>
      <c r="G82" s="615">
        <v>2.7339636464698072</v>
      </c>
      <c r="H82" s="615">
        <v>3.1817981691631796</v>
      </c>
      <c r="I82" s="615">
        <v>4.2674054642210599</v>
      </c>
      <c r="J82" s="615">
        <v>4.7657329273526114</v>
      </c>
      <c r="K82" s="616">
        <v>4.9100971819760897</v>
      </c>
    </row>
    <row r="83" spans="1:12" s="2" customFormat="1">
      <c r="A83" s="3"/>
      <c r="B83" s="130"/>
      <c r="C83" s="137"/>
      <c r="D83" s="137"/>
      <c r="E83" s="137"/>
      <c r="F83" s="137"/>
      <c r="G83" s="137"/>
      <c r="H83" s="137"/>
      <c r="I83" s="137"/>
      <c r="J83" s="137"/>
      <c r="K83" s="137"/>
      <c r="L83" s="137"/>
    </row>
    <row r="84" spans="1:12" s="2" customFormat="1">
      <c r="A84" s="3"/>
      <c r="B84" s="130"/>
      <c r="C84" s="537" t="s">
        <v>389</v>
      </c>
      <c r="D84" s="540" t="str">
        <f t="shared" ref="D84:K84" si="29">IF($C54=$B$33,D$6,IF(D$6-RIGHT($C54,1)&lt;$D$6,"Pre-RIIO",D$6-RIGHT($C54,1)))</f>
        <v>Pre-RIIO</v>
      </c>
      <c r="E84" s="541" t="str">
        <f t="shared" si="29"/>
        <v>Pre-RIIO</v>
      </c>
      <c r="F84" s="541">
        <f t="shared" si="29"/>
        <v>2016</v>
      </c>
      <c r="G84" s="541">
        <f t="shared" si="29"/>
        <v>2017</v>
      </c>
      <c r="H84" s="541">
        <f t="shared" si="29"/>
        <v>2018</v>
      </c>
      <c r="I84" s="541">
        <f t="shared" si="29"/>
        <v>2019</v>
      </c>
      <c r="J84" s="541">
        <f t="shared" si="29"/>
        <v>2020</v>
      </c>
      <c r="K84" s="542">
        <f t="shared" si="29"/>
        <v>2021</v>
      </c>
    </row>
    <row r="85" spans="1:12" s="2" customFormat="1">
      <c r="A85" s="3" t="str">
        <f>A12</f>
        <v>b</v>
      </c>
      <c r="B85" s="130" t="str">
        <f>B12&amp;""</f>
        <v>Interruptions-related quality of service</v>
      </c>
      <c r="C85" s="137" t="s">
        <v>125</v>
      </c>
      <c r="D85" s="614">
        <v>7.1752175999999981</v>
      </c>
      <c r="E85" s="615">
        <v>11.380961699999999</v>
      </c>
      <c r="F85" s="615">
        <v>7.8073218297217633</v>
      </c>
      <c r="G85" s="615">
        <v>12.535446293231447</v>
      </c>
      <c r="H85" s="615">
        <v>11.333051575435039</v>
      </c>
      <c r="I85" s="615">
        <v>5.8906158728647791</v>
      </c>
      <c r="J85" s="615">
        <v>7.1245186644959659</v>
      </c>
      <c r="K85" s="616">
        <v>10.571430036272927</v>
      </c>
    </row>
    <row r="86" spans="1:12" s="2" customFormat="1">
      <c r="A86" s="3"/>
      <c r="B86" s="130"/>
      <c r="C86" s="137"/>
      <c r="D86" s="137"/>
      <c r="E86" s="137"/>
      <c r="F86" s="137"/>
      <c r="G86" s="137"/>
      <c r="H86" s="137"/>
      <c r="I86" s="137"/>
      <c r="J86" s="137"/>
      <c r="K86" s="137"/>
      <c r="L86" s="137"/>
    </row>
    <row r="87" spans="1:12" s="2" customFormat="1">
      <c r="A87" s="3"/>
      <c r="B87" s="130"/>
      <c r="C87" s="537" t="s">
        <v>389</v>
      </c>
      <c r="D87" s="540" t="str">
        <f t="shared" ref="D87:K87" si="30">IF($C58=$B$33,D$6,IF(D$6-RIGHT($C58,1)&lt;$D$6,"Pre-RIIO",D$6-RIGHT($C58,1)))</f>
        <v>Pre-RIIO</v>
      </c>
      <c r="E87" s="541" t="str">
        <f t="shared" si="30"/>
        <v>Pre-RIIO</v>
      </c>
      <c r="F87" s="541" t="str">
        <f t="shared" si="30"/>
        <v>Pre-RIIO</v>
      </c>
      <c r="G87" s="541">
        <f t="shared" si="30"/>
        <v>2016</v>
      </c>
      <c r="H87" s="541">
        <f t="shared" si="30"/>
        <v>2017</v>
      </c>
      <c r="I87" s="541">
        <f t="shared" si="30"/>
        <v>2018</v>
      </c>
      <c r="J87" s="541">
        <f t="shared" si="30"/>
        <v>2019</v>
      </c>
      <c r="K87" s="542">
        <f t="shared" si="30"/>
        <v>2020</v>
      </c>
    </row>
    <row r="88" spans="1:12" s="2" customFormat="1">
      <c r="A88" s="3" t="str">
        <f>A13</f>
        <v>c</v>
      </c>
      <c r="B88" s="130" t="str">
        <f>B13&amp;""</f>
        <v>Incentive on connections engagement</v>
      </c>
      <c r="C88" s="137" t="s">
        <v>125</v>
      </c>
      <c r="D88" s="614">
        <v>0</v>
      </c>
      <c r="E88" s="615">
        <v>0</v>
      </c>
      <c r="F88" s="615">
        <v>0</v>
      </c>
      <c r="G88" s="615">
        <v>0</v>
      </c>
      <c r="H88" s="615">
        <v>0</v>
      </c>
      <c r="I88" s="615">
        <v>0</v>
      </c>
      <c r="J88" s="615">
        <v>0</v>
      </c>
      <c r="K88" s="616">
        <v>0</v>
      </c>
    </row>
    <row r="89" spans="1:12" s="2" customFormat="1">
      <c r="A89" s="3"/>
      <c r="B89" s="130"/>
      <c r="C89" s="137"/>
      <c r="D89" s="137"/>
      <c r="E89" s="137"/>
      <c r="F89" s="137"/>
      <c r="G89" s="137"/>
      <c r="H89" s="137"/>
      <c r="I89" s="137"/>
      <c r="J89" s="137"/>
      <c r="K89" s="137"/>
      <c r="L89" s="137"/>
    </row>
    <row r="90" spans="1:12" s="2" customFormat="1">
      <c r="A90" s="3"/>
      <c r="B90" s="130"/>
      <c r="C90" s="537" t="s">
        <v>389</v>
      </c>
      <c r="D90" s="540" t="str">
        <f t="shared" ref="D90:K90" si="31">IF($C62=$B$33,D$6,IF(D$6-RIGHT($C62,1)&lt;$D$6,"Pre-RIIO",D$6-RIGHT($C62,1)))</f>
        <v>Pre-RIIO</v>
      </c>
      <c r="E90" s="541" t="str">
        <f t="shared" si="31"/>
        <v>Pre-RIIO</v>
      </c>
      <c r="F90" s="541">
        <f t="shared" si="31"/>
        <v>2016</v>
      </c>
      <c r="G90" s="541">
        <f t="shared" si="31"/>
        <v>2017</v>
      </c>
      <c r="H90" s="541">
        <f t="shared" si="31"/>
        <v>2018</v>
      </c>
      <c r="I90" s="541">
        <f t="shared" si="31"/>
        <v>2019</v>
      </c>
      <c r="J90" s="541">
        <f t="shared" si="31"/>
        <v>2020</v>
      </c>
      <c r="K90" s="542">
        <f t="shared" si="31"/>
        <v>2021</v>
      </c>
    </row>
    <row r="91" spans="1:12" s="2" customFormat="1">
      <c r="A91" s="3" t="str">
        <f>A14</f>
        <v>d</v>
      </c>
      <c r="B91" s="130" t="str">
        <f>B14&amp;""</f>
        <v>Time to Connect Incentive</v>
      </c>
      <c r="C91" s="137" t="s">
        <v>125</v>
      </c>
      <c r="D91" s="614">
        <v>0</v>
      </c>
      <c r="E91" s="615">
        <v>0</v>
      </c>
      <c r="F91" s="615">
        <v>1.0200295866602096</v>
      </c>
      <c r="G91" s="615">
        <v>0.64982200878716667</v>
      </c>
      <c r="H91" s="615">
        <v>0.67413834678655349</v>
      </c>
      <c r="I91" s="615">
        <v>0.69473710023500557</v>
      </c>
      <c r="J91" s="615">
        <v>0.71020359451225812</v>
      </c>
      <c r="K91" s="616">
        <v>0.66447691484381821</v>
      </c>
    </row>
    <row r="92" spans="1:12" s="2" customFormat="1">
      <c r="A92" s="3"/>
      <c r="B92" s="130"/>
      <c r="C92" s="137"/>
      <c r="D92" s="137"/>
      <c r="E92" s="137"/>
      <c r="F92" s="137"/>
      <c r="G92" s="137"/>
      <c r="H92" s="137"/>
      <c r="I92" s="137"/>
      <c r="J92" s="137"/>
      <c r="K92" s="137"/>
      <c r="L92" s="137"/>
    </row>
    <row r="93" spans="1:12" s="2" customFormat="1">
      <c r="A93" s="3"/>
      <c r="B93" s="130"/>
      <c r="C93" s="537" t="s">
        <v>389</v>
      </c>
      <c r="D93" s="540" t="str">
        <f>IF($C66=$B$33,D$6,IF(D$6-RIGHT($C66,1)&lt;$D$6,"Pre-RIIO",D$6-RIGHT($C66,1)))</f>
        <v>Pre-RIIO</v>
      </c>
      <c r="E93" s="541">
        <f t="shared" ref="E93:K93" si="32">IF($C66=$B$33,E$6,IF(E$6-RIGHT($C66,1)&lt;$D$6,"Pre-RIIO",E$6-RIGHT($C66,1)))</f>
        <v>2016</v>
      </c>
      <c r="F93" s="541">
        <f t="shared" si="32"/>
        <v>2017</v>
      </c>
      <c r="G93" s="541">
        <f t="shared" si="32"/>
        <v>2018</v>
      </c>
      <c r="H93" s="541">
        <f t="shared" si="32"/>
        <v>2019</v>
      </c>
      <c r="I93" s="541">
        <f t="shared" si="32"/>
        <v>2020</v>
      </c>
      <c r="J93" s="541">
        <f t="shared" si="32"/>
        <v>2021</v>
      </c>
      <c r="K93" s="542">
        <f t="shared" si="32"/>
        <v>2022</v>
      </c>
    </row>
    <row r="94" spans="1:12" s="2" customFormat="1">
      <c r="A94" s="3" t="str">
        <f>A15</f>
        <v>e</v>
      </c>
      <c r="B94" s="130" t="str">
        <f>B15&amp;""</f>
        <v>Losses discretionary reward scheme</v>
      </c>
      <c r="C94" s="137" t="s">
        <v>125</v>
      </c>
      <c r="D94" s="614">
        <v>0</v>
      </c>
      <c r="E94" s="615">
        <v>0</v>
      </c>
      <c r="F94" s="615">
        <v>0.431585</v>
      </c>
      <c r="G94" s="615">
        <v>0</v>
      </c>
      <c r="H94" s="615">
        <v>0</v>
      </c>
      <c r="I94" s="615">
        <v>0</v>
      </c>
      <c r="J94" s="615">
        <v>0</v>
      </c>
      <c r="K94" s="616">
        <v>0</v>
      </c>
    </row>
    <row r="95" spans="1:12" s="2" customFormat="1">
      <c r="A95" s="3"/>
      <c r="B95" s="130"/>
      <c r="C95" s="137"/>
      <c r="D95" s="137"/>
      <c r="E95" s="137"/>
      <c r="F95" s="137"/>
      <c r="G95" s="137"/>
      <c r="H95" s="137"/>
      <c r="I95" s="137"/>
      <c r="J95" s="137"/>
      <c r="K95" s="137"/>
      <c r="L95" s="137"/>
    </row>
    <row r="96" spans="1:12" s="2" customFormat="1">
      <c r="A96" s="3"/>
      <c r="B96" s="130"/>
      <c r="C96" s="537" t="s">
        <v>389</v>
      </c>
      <c r="D96" s="540" t="str">
        <f>IF($C70=$B$33,D$6,IF(D$6-RIGHT($C70,1)&lt;$D$6,"Pre-RIIO",D$6-RIGHT($C70,1)))</f>
        <v>Pre-RIIO</v>
      </c>
      <c r="E96" s="540">
        <f t="shared" ref="E96:K96" si="33">IF($C70=$B$33,E$6,IF(E$6-RIGHT($C70,1)&lt;$D$6,"Pre-RIIO",E$6-RIGHT($C70,1)))</f>
        <v>2016</v>
      </c>
      <c r="F96" s="540">
        <f t="shared" si="33"/>
        <v>2017</v>
      </c>
      <c r="G96" s="540">
        <f t="shared" si="33"/>
        <v>2018</v>
      </c>
      <c r="H96" s="540">
        <f t="shared" si="33"/>
        <v>2019</v>
      </c>
      <c r="I96" s="540">
        <f t="shared" si="33"/>
        <v>2020</v>
      </c>
      <c r="J96" s="540">
        <f t="shared" si="33"/>
        <v>2021</v>
      </c>
      <c r="K96" s="540">
        <f t="shared" si="33"/>
        <v>2022</v>
      </c>
    </row>
    <row r="97" spans="1:13" s="2" customFormat="1">
      <c r="A97" s="3" t="str">
        <f>A16</f>
        <v>f</v>
      </c>
      <c r="B97" s="130" t="str">
        <f>B16&amp;""</f>
        <v/>
      </c>
      <c r="C97" s="137" t="s">
        <v>125</v>
      </c>
      <c r="D97" s="614">
        <v>0</v>
      </c>
      <c r="E97" s="615">
        <v>0</v>
      </c>
      <c r="F97" s="615">
        <v>0</v>
      </c>
      <c r="G97" s="615">
        <v>0</v>
      </c>
      <c r="H97" s="615">
        <v>0</v>
      </c>
      <c r="I97" s="615">
        <v>0</v>
      </c>
      <c r="J97" s="615">
        <v>0</v>
      </c>
      <c r="K97" s="616">
        <v>0</v>
      </c>
    </row>
    <row r="98" spans="1:13" s="2" customFormat="1">
      <c r="A98" s="3"/>
      <c r="B98" s="130"/>
      <c r="C98" s="137"/>
      <c r="D98" s="137"/>
      <c r="E98" s="137"/>
      <c r="F98" s="137"/>
      <c r="G98" s="137"/>
      <c r="H98" s="137"/>
      <c r="I98" s="137"/>
      <c r="J98" s="137"/>
      <c r="K98" s="137"/>
      <c r="L98" s="137"/>
    </row>
    <row r="99" spans="1:13" s="2" customFormat="1">
      <c r="A99" s="3"/>
      <c r="B99" s="130"/>
      <c r="C99" s="537" t="s">
        <v>389</v>
      </c>
      <c r="D99" s="540" t="str">
        <f>IF($C74=$B$33,D$6,IF(D$6-RIGHT($C74,1)&lt;$D$6,"Pre-RIIO",D$6-RIGHT($C74,1)))</f>
        <v>Pre-RIIO</v>
      </c>
      <c r="E99" s="540">
        <f t="shared" ref="E99:K99" si="34">IF($C74=$B$33,E$6,IF(E$6-RIGHT($C74,1)&lt;$D$6,"Pre-RIIO",E$6-RIGHT($C74,1)))</f>
        <v>2016</v>
      </c>
      <c r="F99" s="540">
        <f t="shared" si="34"/>
        <v>2017</v>
      </c>
      <c r="G99" s="540">
        <f t="shared" si="34"/>
        <v>2018</v>
      </c>
      <c r="H99" s="540">
        <f t="shared" si="34"/>
        <v>2019</v>
      </c>
      <c r="I99" s="540">
        <f t="shared" si="34"/>
        <v>2020</v>
      </c>
      <c r="J99" s="540">
        <f t="shared" si="34"/>
        <v>2021</v>
      </c>
      <c r="K99" s="540">
        <f t="shared" si="34"/>
        <v>2022</v>
      </c>
    </row>
    <row r="100" spans="1:13" s="2" customFormat="1">
      <c r="A100" s="3" t="str">
        <f>A17</f>
        <v>g</v>
      </c>
      <c r="B100" s="130" t="str">
        <f>B17&amp;""</f>
        <v/>
      </c>
      <c r="C100" s="137" t="s">
        <v>125</v>
      </c>
      <c r="D100" s="614">
        <v>0</v>
      </c>
      <c r="E100" s="615">
        <v>0</v>
      </c>
      <c r="F100" s="615">
        <v>0</v>
      </c>
      <c r="G100" s="615">
        <v>0</v>
      </c>
      <c r="H100" s="615">
        <v>0</v>
      </c>
      <c r="I100" s="615">
        <v>0</v>
      </c>
      <c r="J100" s="615">
        <v>0</v>
      </c>
      <c r="K100" s="616">
        <v>0</v>
      </c>
    </row>
    <row r="101" spans="1:13" s="2" customFormat="1">
      <c r="A101" s="3"/>
      <c r="B101" s="130"/>
      <c r="C101" s="137"/>
      <c r="D101" s="137"/>
      <c r="E101" s="137"/>
      <c r="F101" s="137"/>
      <c r="G101" s="137"/>
      <c r="H101" s="137"/>
      <c r="I101" s="137"/>
      <c r="J101" s="137"/>
      <c r="K101" s="137"/>
      <c r="L101" s="137"/>
      <c r="M101" s="137"/>
    </row>
    <row r="102" spans="1:13" s="2" customFormat="1">
      <c r="B102" s="12" t="s">
        <v>155</v>
      </c>
      <c r="C102" s="158" t="s">
        <v>125</v>
      </c>
      <c r="D102" s="602">
        <f>SUM(D82,D85,D88,D91,D94,D97,D100)</f>
        <v>7.1489569499999979</v>
      </c>
      <c r="E102" s="602">
        <f t="shared" ref="E102:K102" si="35">SUM(E82,E85,E88,E91,E94,E97,E100)</f>
        <v>11.195117099999999</v>
      </c>
      <c r="F102" s="602">
        <f t="shared" si="35"/>
        <v>11.983420297039988</v>
      </c>
      <c r="G102" s="602">
        <f t="shared" si="35"/>
        <v>15.91923194848842</v>
      </c>
      <c r="H102" s="603">
        <f>SUM(H82,H85,H88,H91,H94,H97,H100)</f>
        <v>15.188988091384774</v>
      </c>
      <c r="I102" s="603">
        <f t="shared" si="35"/>
        <v>10.852758437320844</v>
      </c>
      <c r="J102" s="603">
        <f t="shared" si="35"/>
        <v>12.600455186360836</v>
      </c>
      <c r="K102" s="604">
        <f t="shared" si="35"/>
        <v>16.146004133092834</v>
      </c>
    </row>
    <row r="103" spans="1:13" s="2" customFormat="1">
      <c r="C103" s="137"/>
    </row>
    <row r="104" spans="1:13" s="2" customFormat="1">
      <c r="A104" s="35"/>
      <c r="B104" s="12" t="s">
        <v>364</v>
      </c>
      <c r="C104" s="157"/>
      <c r="D104" s="157"/>
      <c r="E104" s="157"/>
      <c r="F104" s="157"/>
      <c r="G104" s="157"/>
      <c r="H104" s="157"/>
      <c r="I104" s="157"/>
      <c r="J104" s="157"/>
      <c r="K104" s="157"/>
      <c r="L104" s="157"/>
      <c r="M104" s="157"/>
    </row>
    <row r="105" spans="1:13" s="2" customFormat="1">
      <c r="A105" s="270" t="str">
        <f>A82</f>
        <v>a</v>
      </c>
      <c r="B105" s="1054"/>
      <c r="C105" s="1054"/>
      <c r="D105" s="1054"/>
      <c r="E105" s="1054"/>
      <c r="F105" s="1054"/>
      <c r="G105" s="1054"/>
      <c r="H105" s="1054"/>
      <c r="I105" s="1054"/>
      <c r="J105" s="1054"/>
      <c r="K105" s="1054"/>
      <c r="L105" s="1054"/>
      <c r="M105" s="1054"/>
    </row>
    <row r="106" spans="1:13" s="2" customFormat="1">
      <c r="A106" s="270" t="str">
        <f>A85</f>
        <v>b</v>
      </c>
      <c r="B106" s="1054"/>
      <c r="C106" s="1054"/>
      <c r="D106" s="1054"/>
      <c r="E106" s="1054"/>
      <c r="F106" s="1054"/>
      <c r="G106" s="1054"/>
      <c r="H106" s="1054"/>
      <c r="I106" s="1054"/>
      <c r="J106" s="1054"/>
      <c r="K106" s="1054"/>
      <c r="L106" s="1054"/>
      <c r="M106" s="1054"/>
    </row>
    <row r="107" spans="1:13" s="2" customFormat="1">
      <c r="A107" s="270" t="str">
        <f>A88</f>
        <v>c</v>
      </c>
      <c r="B107" s="1054"/>
      <c r="C107" s="1054"/>
      <c r="D107" s="1054"/>
      <c r="E107" s="1054"/>
      <c r="F107" s="1054"/>
      <c r="G107" s="1054"/>
      <c r="H107" s="1054"/>
      <c r="I107" s="1054"/>
      <c r="J107" s="1054"/>
      <c r="K107" s="1054"/>
      <c r="L107" s="1054"/>
      <c r="M107" s="1054"/>
    </row>
    <row r="108" spans="1:13" s="2" customFormat="1">
      <c r="A108" s="270" t="str">
        <f>A91</f>
        <v>d</v>
      </c>
      <c r="B108" s="1054"/>
      <c r="C108" s="1054"/>
      <c r="D108" s="1054"/>
      <c r="E108" s="1054"/>
      <c r="F108" s="1054"/>
      <c r="G108" s="1054"/>
      <c r="H108" s="1054"/>
      <c r="I108" s="1054"/>
      <c r="J108" s="1054"/>
      <c r="K108" s="1054"/>
      <c r="L108" s="1054"/>
      <c r="M108" s="1054"/>
    </row>
    <row r="109" spans="1:13" s="2" customFormat="1">
      <c r="A109" s="270" t="str">
        <f>A94</f>
        <v>e</v>
      </c>
      <c r="B109" s="1054"/>
      <c r="C109" s="1054"/>
      <c r="D109" s="1054"/>
      <c r="E109" s="1054"/>
      <c r="F109" s="1054"/>
      <c r="G109" s="1054"/>
      <c r="H109" s="1054"/>
      <c r="I109" s="1054"/>
      <c r="J109" s="1054"/>
      <c r="K109" s="1054"/>
      <c r="L109" s="1054"/>
      <c r="M109" s="1054"/>
    </row>
    <row r="110" spans="1:13" s="2" customFormat="1">
      <c r="A110" s="270" t="str">
        <f>A97</f>
        <v>f</v>
      </c>
      <c r="B110" s="1054"/>
      <c r="C110" s="1054"/>
      <c r="D110" s="1054"/>
      <c r="E110" s="1054"/>
      <c r="F110" s="1054"/>
      <c r="G110" s="1054"/>
      <c r="H110" s="1054"/>
      <c r="I110" s="1054"/>
      <c r="J110" s="1054"/>
      <c r="K110" s="1054"/>
      <c r="L110" s="1054"/>
      <c r="M110" s="1054"/>
    </row>
    <row r="111" spans="1:13" s="2" customFormat="1">
      <c r="A111" s="270" t="str">
        <f>A100</f>
        <v>g</v>
      </c>
      <c r="B111" s="1054"/>
      <c r="C111" s="1054"/>
      <c r="D111" s="1054"/>
      <c r="E111" s="1054"/>
      <c r="F111" s="1054"/>
      <c r="G111" s="1054"/>
      <c r="H111" s="1054"/>
      <c r="I111" s="1054"/>
      <c r="J111" s="1054"/>
      <c r="K111" s="1054"/>
      <c r="L111" s="1054"/>
      <c r="M111" s="1054"/>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2" priority="31">
      <formula>AND(D$5="Actuals",E$5="Forecast")</formula>
    </cfRule>
  </conditionalFormatting>
  <conditionalFormatting sqref="D5:K5">
    <cfRule type="expression" dxfId="7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864" t="s">
        <v>97</v>
      </c>
      <c r="B1" s="860"/>
      <c r="C1" s="279"/>
      <c r="D1" s="257"/>
      <c r="E1" s="257"/>
      <c r="F1" s="257"/>
      <c r="G1" s="257"/>
      <c r="H1" s="257"/>
      <c r="I1" s="258"/>
      <c r="J1" s="258"/>
      <c r="K1" s="259"/>
      <c r="L1" s="260"/>
    </row>
    <row r="2" spans="1:12" s="31" customFormat="1" ht="20.25">
      <c r="A2" s="853" t="str">
        <f>'RFPR cover'!C5</f>
        <v>SPD</v>
      </c>
      <c r="B2" s="845"/>
      <c r="C2" s="135"/>
      <c r="D2" s="29"/>
      <c r="E2" s="29"/>
      <c r="F2" s="29"/>
      <c r="G2" s="29"/>
      <c r="H2" s="29"/>
      <c r="I2" s="27"/>
      <c r="J2" s="27"/>
      <c r="K2" s="27"/>
      <c r="L2" s="124"/>
    </row>
    <row r="3" spans="1:12" s="37" customFormat="1" ht="23.25">
      <c r="A3" s="856">
        <f>'RFPR cover'!C7</f>
        <v>2022</v>
      </c>
      <c r="B3" s="862" t="str">
        <f>'R1 - RoRE'!B3</f>
        <v/>
      </c>
      <c r="C3" s="281"/>
      <c r="D3" s="280"/>
      <c r="E3" s="280"/>
      <c r="F3" s="280"/>
      <c r="G3" s="280"/>
      <c r="H3" s="280"/>
      <c r="I3" s="256"/>
      <c r="J3" s="256"/>
      <c r="K3" s="256"/>
      <c r="L3" s="262"/>
    </row>
    <row r="4" spans="1:12" s="2" customFormat="1" ht="12.75" customHeight="1">
      <c r="C4" s="137"/>
    </row>
    <row r="5" spans="1:12" s="2" customForma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131</v>
      </c>
      <c r="C8" s="138"/>
      <c r="D8" s="57"/>
      <c r="E8" s="57"/>
      <c r="F8" s="57"/>
      <c r="G8" s="57"/>
      <c r="H8" s="57"/>
      <c r="I8" s="57"/>
      <c r="J8" s="57"/>
      <c r="K8" s="57"/>
    </row>
    <row r="9" spans="1:12" s="2" customFormat="1">
      <c r="B9" s="226" t="s">
        <v>500</v>
      </c>
      <c r="C9" s="153" t="s">
        <v>125</v>
      </c>
      <c r="D9" s="590">
        <v>1.7852340420357795</v>
      </c>
      <c r="E9" s="591">
        <v>1.7658983930531649</v>
      </c>
      <c r="F9" s="591">
        <v>1.610069317435129</v>
      </c>
      <c r="G9" s="591">
        <v>1.7625549644522502</v>
      </c>
      <c r="H9" s="591">
        <v>1.9849603920169092</v>
      </c>
      <c r="I9" s="591">
        <v>2.2030958805956713</v>
      </c>
      <c r="J9" s="591">
        <v>2.3126351127164955</v>
      </c>
      <c r="K9" s="600">
        <v>2.0220876484250354</v>
      </c>
    </row>
    <row r="10" spans="1:12" s="2" customFormat="1">
      <c r="B10" s="226" t="s">
        <v>482</v>
      </c>
      <c r="C10" s="153" t="s">
        <v>125</v>
      </c>
      <c r="D10" s="592">
        <v>0</v>
      </c>
      <c r="E10" s="593">
        <v>0</v>
      </c>
      <c r="F10" s="593">
        <v>0</v>
      </c>
      <c r="G10" s="593">
        <v>0</v>
      </c>
      <c r="H10" s="593">
        <v>0</v>
      </c>
      <c r="I10" s="593">
        <v>0</v>
      </c>
      <c r="J10" s="593">
        <v>0</v>
      </c>
      <c r="K10" s="601">
        <v>0</v>
      </c>
    </row>
    <row r="11" spans="1:12" s="2" customFormat="1">
      <c r="B11" s="226" t="s">
        <v>499</v>
      </c>
      <c r="C11" s="153" t="s">
        <v>125</v>
      </c>
      <c r="D11" s="922">
        <v>0.16936514869495722</v>
      </c>
      <c r="E11" s="923">
        <v>0.16701334426031655</v>
      </c>
      <c r="F11" s="923">
        <v>0.15225693174351296</v>
      </c>
      <c r="G11" s="923">
        <v>0.17625549644522498</v>
      </c>
      <c r="H11" s="923">
        <v>0.19849603920169079</v>
      </c>
      <c r="I11" s="923">
        <v>0.22030958805956713</v>
      </c>
      <c r="J11" s="923">
        <v>0.23344217303094927</v>
      </c>
      <c r="K11" s="610">
        <v>0.20220876484250355</v>
      </c>
    </row>
    <row r="12" spans="1:12" s="12" customFormat="1">
      <c r="B12" s="51" t="s">
        <v>129</v>
      </c>
      <c r="C12" s="153" t="s">
        <v>125</v>
      </c>
      <c r="D12" s="602">
        <f>D9-D10-D11</f>
        <v>1.6158688933408223</v>
      </c>
      <c r="E12" s="603">
        <f t="shared" ref="E12:K12" si="1">E9-E10-E11</f>
        <v>1.5988850487928483</v>
      </c>
      <c r="F12" s="603">
        <f t="shared" si="1"/>
        <v>1.4578123856916161</v>
      </c>
      <c r="G12" s="603">
        <f t="shared" si="1"/>
        <v>1.5862994680070253</v>
      </c>
      <c r="H12" s="603">
        <f t="shared" si="1"/>
        <v>1.7864643528152184</v>
      </c>
      <c r="I12" s="603">
        <f t="shared" si="1"/>
        <v>1.9827862925361042</v>
      </c>
      <c r="J12" s="603">
        <f t="shared" si="1"/>
        <v>2.0791929396855462</v>
      </c>
      <c r="K12" s="604">
        <f t="shared" si="1"/>
        <v>1.8198788835825319</v>
      </c>
      <c r="L12" s="2"/>
    </row>
    <row r="13" spans="1:12" s="12" customFormat="1">
      <c r="B13" s="51"/>
      <c r="C13" s="137"/>
      <c r="D13" s="52"/>
      <c r="E13" s="52"/>
      <c r="F13" s="52"/>
      <c r="G13" s="52"/>
      <c r="H13" s="52"/>
      <c r="I13" s="52"/>
      <c r="J13" s="52"/>
      <c r="K13" s="52"/>
      <c r="L13" s="2"/>
    </row>
    <row r="14" spans="1:12" s="2" customFormat="1">
      <c r="B14" s="51" t="s">
        <v>153</v>
      </c>
      <c r="C14" s="138"/>
      <c r="D14" s="57"/>
      <c r="E14" s="57"/>
      <c r="F14" s="57"/>
      <c r="G14" s="57"/>
      <c r="H14" s="57"/>
      <c r="I14" s="57"/>
      <c r="J14" s="57"/>
      <c r="K14" s="57"/>
    </row>
    <row r="15" spans="1:12" s="2" customFormat="1" ht="13.15" customHeight="1">
      <c r="B15" s="226" t="s">
        <v>502</v>
      </c>
      <c r="C15" s="153" t="s">
        <v>125</v>
      </c>
      <c r="D15" s="590">
        <v>1.3859999999999999</v>
      </c>
      <c r="E15" s="591">
        <v>7.2999999999999995E-2</v>
      </c>
      <c r="F15" s="591">
        <v>0.21199999999999999</v>
      </c>
      <c r="G15" s="591">
        <v>0.57399999999999995</v>
      </c>
      <c r="H15" s="591">
        <v>7.850915E-2</v>
      </c>
      <c r="I15" s="591">
        <v>-0.21099999999999999</v>
      </c>
      <c r="J15" s="591">
        <v>4.7E-2</v>
      </c>
      <c r="K15" s="600">
        <v>-0.21815097999999999</v>
      </c>
    </row>
    <row r="16" spans="1:12" s="2" customFormat="1">
      <c r="B16" s="226" t="s">
        <v>501</v>
      </c>
      <c r="C16" s="153" t="s">
        <v>125</v>
      </c>
      <c r="D16" s="922">
        <v>0</v>
      </c>
      <c r="E16" s="923">
        <v>0</v>
      </c>
      <c r="F16" s="923">
        <v>0</v>
      </c>
      <c r="G16" s="923">
        <v>0</v>
      </c>
      <c r="H16" s="923">
        <v>0</v>
      </c>
      <c r="I16" s="923">
        <v>0</v>
      </c>
      <c r="J16" s="923">
        <v>0</v>
      </c>
      <c r="K16" s="610">
        <v>0</v>
      </c>
    </row>
    <row r="17" spans="2:12" s="12" customFormat="1">
      <c r="B17" s="51" t="s">
        <v>130</v>
      </c>
      <c r="C17" s="153" t="s">
        <v>125</v>
      </c>
      <c r="D17" s="602">
        <f>D15-D16</f>
        <v>1.3859999999999999</v>
      </c>
      <c r="E17" s="603">
        <f t="shared" ref="E17:K17" si="2">E15-E16</f>
        <v>7.2999999999999995E-2</v>
      </c>
      <c r="F17" s="603">
        <f t="shared" si="2"/>
        <v>0.21199999999999999</v>
      </c>
      <c r="G17" s="603">
        <f t="shared" si="2"/>
        <v>0.57399999999999995</v>
      </c>
      <c r="H17" s="603">
        <f t="shared" si="2"/>
        <v>7.850915E-2</v>
      </c>
      <c r="I17" s="603">
        <f t="shared" si="2"/>
        <v>-0.21099999999999999</v>
      </c>
      <c r="J17" s="603">
        <f t="shared" si="2"/>
        <v>4.7E-2</v>
      </c>
      <c r="K17" s="603">
        <f t="shared" si="2"/>
        <v>-0.21815097999999999</v>
      </c>
      <c r="L17" s="2"/>
    </row>
    <row r="18" spans="2:12" s="12" customFormat="1">
      <c r="B18" s="51"/>
      <c r="C18" s="137"/>
      <c r="D18" s="52"/>
      <c r="E18" s="52"/>
      <c r="F18" s="52"/>
      <c r="G18" s="52"/>
      <c r="H18" s="52"/>
      <c r="I18" s="52"/>
      <c r="J18" s="52"/>
      <c r="K18" s="52"/>
      <c r="L18" s="2"/>
    </row>
    <row r="19" spans="2:12" s="2" customFormat="1">
      <c r="B19" s="51" t="s">
        <v>154</v>
      </c>
      <c r="C19" s="138"/>
      <c r="D19" s="57"/>
      <c r="E19" s="57"/>
      <c r="F19" s="57"/>
      <c r="G19" s="57"/>
      <c r="H19" s="57"/>
      <c r="I19" s="57"/>
      <c r="J19" s="57"/>
      <c r="K19" s="57"/>
    </row>
    <row r="20" spans="2:12" s="2" customFormat="1">
      <c r="B20" s="226" t="s">
        <v>432</v>
      </c>
      <c r="C20" s="153" t="s">
        <v>125</v>
      </c>
      <c r="D20" s="590">
        <v>0</v>
      </c>
      <c r="E20" s="591">
        <v>5.1039404900000003</v>
      </c>
      <c r="F20" s="591">
        <v>0</v>
      </c>
      <c r="G20" s="591">
        <v>0</v>
      </c>
      <c r="H20" s="591">
        <v>0</v>
      </c>
      <c r="I20" s="591">
        <v>0</v>
      </c>
      <c r="J20" s="591">
        <v>0</v>
      </c>
      <c r="K20" s="600">
        <v>0</v>
      </c>
    </row>
    <row r="21" spans="2:12" s="2" customFormat="1">
      <c r="B21" s="226" t="s">
        <v>499</v>
      </c>
      <c r="C21" s="153" t="s">
        <v>125</v>
      </c>
      <c r="D21" s="922">
        <v>0</v>
      </c>
      <c r="E21" s="923">
        <v>0.56710450000000001</v>
      </c>
      <c r="F21" s="923">
        <v>0</v>
      </c>
      <c r="G21" s="923">
        <v>0</v>
      </c>
      <c r="H21" s="923">
        <v>0</v>
      </c>
      <c r="I21" s="923">
        <v>0</v>
      </c>
      <c r="J21" s="923">
        <v>0</v>
      </c>
      <c r="K21" s="610">
        <v>0</v>
      </c>
    </row>
    <row r="22" spans="2:12" s="2" customFormat="1">
      <c r="B22" s="35"/>
      <c r="C22" s="139"/>
      <c r="D22" s="35"/>
      <c r="E22" s="35"/>
      <c r="F22" s="35"/>
      <c r="G22" s="35"/>
      <c r="H22" s="35"/>
      <c r="I22" s="35"/>
      <c r="J22" s="35"/>
      <c r="K22" s="35"/>
    </row>
    <row r="23" spans="2:12" s="2" customFormat="1">
      <c r="B23" s="226" t="s">
        <v>485</v>
      </c>
      <c r="C23" s="153" t="s">
        <v>125</v>
      </c>
      <c r="D23" s="614">
        <v>0</v>
      </c>
      <c r="E23" s="615">
        <v>0.51500000000000001</v>
      </c>
      <c r="F23" s="615">
        <v>0</v>
      </c>
      <c r="G23" s="615">
        <v>0.84599999999999997</v>
      </c>
      <c r="H23" s="615">
        <v>0</v>
      </c>
      <c r="I23" s="615">
        <v>0</v>
      </c>
      <c r="J23" s="615">
        <v>0</v>
      </c>
      <c r="K23" s="616">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384</v>
      </c>
      <c r="C27" s="139"/>
      <c r="D27" s="35"/>
      <c r="E27" s="35"/>
      <c r="F27" s="35"/>
      <c r="G27" s="35"/>
      <c r="H27" s="35"/>
      <c r="I27" s="35"/>
      <c r="J27" s="35"/>
      <c r="K27" s="35"/>
    </row>
    <row r="28" spans="2:12" s="2" customFormat="1">
      <c r="B28" s="226" t="s">
        <v>483</v>
      </c>
      <c r="C28" s="156" t="str">
        <f>'RFPR cover'!$C$14</f>
        <v>£m 12/13</v>
      </c>
      <c r="D28" s="622">
        <f>(SUM(D10,D11,D21)-D23)/Data!C34</f>
        <v>0.15973071180974918</v>
      </c>
      <c r="E28" s="623">
        <f>(SUM(E10,E11,E21)-E23)/Data!D34</f>
        <v>0.20231802674946017</v>
      </c>
      <c r="F28" s="623">
        <f>(SUM(F10,F11,F21)-F23)/Data!E34</f>
        <v>0.13551247971810218</v>
      </c>
      <c r="G28" s="623">
        <f>(SUM(G10,G11,G21)-G23)/Data!F34</f>
        <v>-0.57841549270498749</v>
      </c>
      <c r="H28" s="623">
        <f>(SUM(H10,H11,H21)-H23)/Data!G34</f>
        <v>0.1671025467471105</v>
      </c>
      <c r="I28" s="623">
        <f>(SUM(I10,I11,I21)-I23)/Data!H34</f>
        <v>0.18324390410812888</v>
      </c>
      <c r="J28" s="623">
        <f>(SUM(J10,J11,J21)-J23)/Data!I34</f>
        <v>0.18356398517265332</v>
      </c>
      <c r="K28" s="624">
        <f>(SUM(K10,K11,K21)-K23)/Data!J34</f>
        <v>0.14681812726784982</v>
      </c>
      <c r="L28" s="35"/>
    </row>
  </sheetData>
  <conditionalFormatting sqref="D6:K6">
    <cfRule type="expression" dxfId="70" priority="24">
      <formula>AND(D$5="Actuals",E$5="Forecast")</formula>
    </cfRule>
  </conditionalFormatting>
  <conditionalFormatting sqref="D5:K5">
    <cfRule type="expression" dxfId="6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864" t="s">
        <v>258</v>
      </c>
      <c r="B1" s="860"/>
      <c r="C1" s="257"/>
      <c r="D1" s="257"/>
      <c r="E1" s="257"/>
      <c r="F1" s="257"/>
      <c r="G1" s="257"/>
      <c r="H1" s="257"/>
      <c r="I1" s="258"/>
      <c r="J1" s="258"/>
      <c r="K1" s="259"/>
      <c r="L1" s="259"/>
      <c r="M1" s="259"/>
      <c r="N1" s="260"/>
    </row>
    <row r="2" spans="1:14" s="31" customFormat="1" ht="20.25">
      <c r="A2" s="853" t="str">
        <f>'RFPR cover'!C5</f>
        <v>SPD</v>
      </c>
      <c r="B2" s="845"/>
      <c r="C2" s="29"/>
      <c r="D2" s="29"/>
      <c r="E2" s="29"/>
      <c r="F2" s="29"/>
      <c r="G2" s="29"/>
      <c r="H2" s="29"/>
      <c r="I2" s="27"/>
      <c r="J2" s="27"/>
      <c r="K2" s="27"/>
      <c r="L2" s="27"/>
      <c r="M2" s="27"/>
      <c r="N2" s="124"/>
    </row>
    <row r="3" spans="1:14" s="31" customFormat="1" ht="23.25">
      <c r="A3" s="856">
        <f>'RFPR cover'!C7</f>
        <v>2022</v>
      </c>
      <c r="B3" s="862"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2022</v>
      </c>
      <c r="M6" s="282" t="s">
        <v>106</v>
      </c>
    </row>
    <row r="7" spans="1:14" s="2" customFormat="1"/>
    <row r="8" spans="1:14">
      <c r="B8" s="480" t="s">
        <v>296</v>
      </c>
      <c r="C8" s="153" t="s">
        <v>125</v>
      </c>
      <c r="D8" s="349">
        <v>39.29999999999999</v>
      </c>
      <c r="E8" s="386">
        <v>38.799999999999997</v>
      </c>
      <c r="F8" s="386">
        <v>37.251288239999994</v>
      </c>
      <c r="G8" s="386">
        <v>37.247566710000001</v>
      </c>
      <c r="H8" s="386">
        <v>39.992103669999999</v>
      </c>
      <c r="I8" s="386">
        <v>36.788255919999997</v>
      </c>
      <c r="J8" s="386">
        <v>33.983315419999997</v>
      </c>
      <c r="K8" s="387">
        <v>43.876436237491433</v>
      </c>
      <c r="L8" s="35"/>
      <c r="M8" s="35"/>
    </row>
    <row r="9" spans="1:14">
      <c r="B9" s="14"/>
      <c r="C9" s="153"/>
      <c r="D9" s="230"/>
      <c r="E9" s="230"/>
      <c r="F9" s="230"/>
      <c r="G9" s="230"/>
      <c r="H9" s="230"/>
      <c r="I9" s="230"/>
      <c r="J9" s="230"/>
      <c r="K9" s="230"/>
      <c r="L9" s="35"/>
      <c r="M9" s="35"/>
    </row>
    <row r="10" spans="1:14">
      <c r="B10" s="14" t="s">
        <v>462</v>
      </c>
      <c r="C10" s="16"/>
      <c r="D10" s="231"/>
      <c r="E10" s="231"/>
      <c r="F10" s="231"/>
      <c r="G10" s="231"/>
      <c r="H10" s="231"/>
      <c r="I10" s="231"/>
      <c r="J10" s="231"/>
      <c r="K10" s="231"/>
      <c r="L10" s="35"/>
      <c r="M10" s="35"/>
    </row>
    <row r="11" spans="1:14">
      <c r="B11" s="370" t="s">
        <v>12</v>
      </c>
      <c r="C11" s="153" t="s">
        <v>125</v>
      </c>
      <c r="D11" s="378">
        <v>0</v>
      </c>
      <c r="E11" s="379">
        <v>0</v>
      </c>
      <c r="F11" s="379">
        <v>0</v>
      </c>
      <c r="G11" s="379">
        <v>0</v>
      </c>
      <c r="H11" s="379">
        <v>0</v>
      </c>
      <c r="I11" s="379">
        <v>0</v>
      </c>
      <c r="J11" s="379">
        <v>0</v>
      </c>
      <c r="K11" s="383">
        <v>0</v>
      </c>
      <c r="L11" s="35"/>
      <c r="M11" s="35"/>
    </row>
    <row r="12" spans="1:14">
      <c r="B12" s="370" t="s">
        <v>13</v>
      </c>
      <c r="C12" s="153" t="s">
        <v>125</v>
      </c>
      <c r="D12" s="348">
        <v>0</v>
      </c>
      <c r="E12" s="380">
        <v>0</v>
      </c>
      <c r="F12" s="380">
        <v>0</v>
      </c>
      <c r="G12" s="380">
        <v>0</v>
      </c>
      <c r="H12" s="380">
        <v>0</v>
      </c>
      <c r="I12" s="380">
        <v>0</v>
      </c>
      <c r="J12" s="380">
        <v>0</v>
      </c>
      <c r="K12" s="384">
        <v>0</v>
      </c>
      <c r="L12" s="35"/>
      <c r="M12" s="35"/>
    </row>
    <row r="13" spans="1:14">
      <c r="B13" s="370" t="s">
        <v>14</v>
      </c>
      <c r="C13" s="153" t="s">
        <v>125</v>
      </c>
      <c r="D13" s="348">
        <v>0</v>
      </c>
      <c r="E13" s="380">
        <v>0</v>
      </c>
      <c r="F13" s="380">
        <v>0</v>
      </c>
      <c r="G13" s="380">
        <v>0</v>
      </c>
      <c r="H13" s="380">
        <v>0</v>
      </c>
      <c r="I13" s="380">
        <v>0</v>
      </c>
      <c r="J13" s="380">
        <v>0</v>
      </c>
      <c r="K13" s="384">
        <v>0</v>
      </c>
      <c r="L13" s="35"/>
      <c r="M13" s="35"/>
    </row>
    <row r="14" spans="1:14">
      <c r="B14" s="370" t="s">
        <v>15</v>
      </c>
      <c r="C14" s="153" t="s">
        <v>125</v>
      </c>
      <c r="D14" s="348">
        <v>0</v>
      </c>
      <c r="E14" s="380">
        <v>0</v>
      </c>
      <c r="F14" s="380">
        <v>0</v>
      </c>
      <c r="G14" s="380">
        <v>0</v>
      </c>
      <c r="H14" s="380">
        <v>0</v>
      </c>
      <c r="I14" s="380">
        <v>0</v>
      </c>
      <c r="J14" s="380">
        <v>0</v>
      </c>
      <c r="K14" s="384">
        <v>0</v>
      </c>
      <c r="L14" s="35"/>
      <c r="M14" s="35"/>
    </row>
    <row r="15" spans="1:14">
      <c r="B15" s="370" t="s">
        <v>16</v>
      </c>
      <c r="C15" s="153" t="s">
        <v>125</v>
      </c>
      <c r="D15" s="348">
        <v>0</v>
      </c>
      <c r="E15" s="380">
        <v>0</v>
      </c>
      <c r="F15" s="380">
        <v>0</v>
      </c>
      <c r="G15" s="380">
        <v>0</v>
      </c>
      <c r="H15" s="380">
        <v>0</v>
      </c>
      <c r="I15" s="380">
        <v>0</v>
      </c>
      <c r="J15" s="380">
        <v>0</v>
      </c>
      <c r="K15" s="384">
        <v>0</v>
      </c>
      <c r="L15" s="35"/>
      <c r="M15" s="35"/>
    </row>
    <row r="16" spans="1:14">
      <c r="B16" s="370" t="s">
        <v>17</v>
      </c>
      <c r="C16" s="153" t="s">
        <v>125</v>
      </c>
      <c r="D16" s="348">
        <v>0</v>
      </c>
      <c r="E16" s="380">
        <v>0</v>
      </c>
      <c r="F16" s="380">
        <v>0</v>
      </c>
      <c r="G16" s="380">
        <v>0</v>
      </c>
      <c r="H16" s="380">
        <v>0</v>
      </c>
      <c r="I16" s="380">
        <v>0</v>
      </c>
      <c r="J16" s="380">
        <v>0</v>
      </c>
      <c r="K16" s="384">
        <v>0</v>
      </c>
      <c r="L16" s="35"/>
    </row>
    <row r="17" spans="2:12">
      <c r="B17" s="370" t="s">
        <v>275</v>
      </c>
      <c r="C17" s="153" t="s">
        <v>125</v>
      </c>
      <c r="D17" s="348">
        <v>0</v>
      </c>
      <c r="E17" s="380">
        <v>0</v>
      </c>
      <c r="F17" s="380">
        <v>0</v>
      </c>
      <c r="G17" s="380">
        <v>0</v>
      </c>
      <c r="H17" s="380">
        <v>0</v>
      </c>
      <c r="I17" s="380">
        <v>0</v>
      </c>
      <c r="J17" s="380">
        <v>0</v>
      </c>
      <c r="K17" s="384">
        <v>0</v>
      </c>
      <c r="L17" s="35"/>
    </row>
    <row r="18" spans="2:12" ht="12.75" customHeight="1">
      <c r="B18" s="370" t="s">
        <v>18</v>
      </c>
      <c r="C18" s="153" t="s">
        <v>125</v>
      </c>
      <c r="D18" s="348">
        <v>0</v>
      </c>
      <c r="E18" s="380">
        <v>0</v>
      </c>
      <c r="F18" s="380">
        <v>0</v>
      </c>
      <c r="G18" s="380">
        <v>0</v>
      </c>
      <c r="H18" s="380">
        <v>0</v>
      </c>
      <c r="I18" s="380">
        <v>-0.27864916000000001</v>
      </c>
      <c r="J18" s="380">
        <v>-0.55274999999999996</v>
      </c>
      <c r="K18" s="384">
        <v>-0.55274999999999996</v>
      </c>
      <c r="L18" s="35"/>
    </row>
    <row r="19" spans="2:12">
      <c r="B19" s="370" t="s">
        <v>626</v>
      </c>
      <c r="C19" s="153" t="s">
        <v>125</v>
      </c>
      <c r="D19" s="348">
        <v>0</v>
      </c>
      <c r="E19" s="380">
        <v>0</v>
      </c>
      <c r="F19" s="380">
        <v>0</v>
      </c>
      <c r="G19" s="380">
        <v>0</v>
      </c>
      <c r="H19" s="380">
        <v>0</v>
      </c>
      <c r="I19" s="380">
        <v>0</v>
      </c>
      <c r="J19" s="380">
        <v>0</v>
      </c>
      <c r="K19" s="384">
        <v>0</v>
      </c>
      <c r="L19" s="35"/>
    </row>
    <row r="20" spans="2:12">
      <c r="B20" s="370" t="s">
        <v>627</v>
      </c>
      <c r="C20" s="153" t="s">
        <v>125</v>
      </c>
      <c r="D20" s="348">
        <v>0</v>
      </c>
      <c r="E20" s="380">
        <v>0</v>
      </c>
      <c r="F20" s="380">
        <v>0</v>
      </c>
      <c r="G20" s="380">
        <v>0</v>
      </c>
      <c r="H20" s="380">
        <v>0</v>
      </c>
      <c r="I20" s="380">
        <v>0</v>
      </c>
      <c r="J20" s="380">
        <v>0</v>
      </c>
      <c r="K20" s="384">
        <v>0</v>
      </c>
      <c r="L20" s="35"/>
    </row>
    <row r="21" spans="2:12">
      <c r="B21" s="370" t="s">
        <v>628</v>
      </c>
      <c r="C21" s="153" t="s">
        <v>125</v>
      </c>
      <c r="D21" s="348">
        <v>0</v>
      </c>
      <c r="E21" s="380">
        <v>0</v>
      </c>
      <c r="F21" s="380">
        <v>0</v>
      </c>
      <c r="G21" s="380">
        <v>0</v>
      </c>
      <c r="H21" s="380">
        <v>0</v>
      </c>
      <c r="I21" s="380">
        <v>0</v>
      </c>
      <c r="J21" s="380">
        <v>0</v>
      </c>
      <c r="K21" s="384">
        <v>0</v>
      </c>
      <c r="L21" s="35"/>
    </row>
    <row r="22" spans="2:12">
      <c r="B22" s="370" t="s">
        <v>629</v>
      </c>
      <c r="C22" s="153" t="s">
        <v>125</v>
      </c>
      <c r="D22" s="348">
        <v>0</v>
      </c>
      <c r="E22" s="380">
        <v>0</v>
      </c>
      <c r="F22" s="380">
        <v>0</v>
      </c>
      <c r="G22" s="380">
        <v>0</v>
      </c>
      <c r="H22" s="380">
        <v>0</v>
      </c>
      <c r="I22" s="380">
        <v>0</v>
      </c>
      <c r="J22" s="380">
        <v>0</v>
      </c>
      <c r="K22" s="384">
        <v>0</v>
      </c>
      <c r="L22" s="35"/>
    </row>
    <row r="23" spans="2:12">
      <c r="B23" s="370" t="s">
        <v>630</v>
      </c>
      <c r="C23" s="153" t="s">
        <v>125</v>
      </c>
      <c r="D23" s="348">
        <v>0</v>
      </c>
      <c r="E23" s="380">
        <v>0</v>
      </c>
      <c r="F23" s="380">
        <v>0</v>
      </c>
      <c r="G23" s="380">
        <v>0</v>
      </c>
      <c r="H23" s="380">
        <v>0</v>
      </c>
      <c r="I23" s="380">
        <v>0</v>
      </c>
      <c r="J23" s="380">
        <v>0</v>
      </c>
      <c r="K23" s="384">
        <v>0</v>
      </c>
      <c r="L23" s="35"/>
    </row>
    <row r="24" spans="2:12">
      <c r="B24" s="370" t="s">
        <v>631</v>
      </c>
      <c r="C24" s="153" t="s">
        <v>125</v>
      </c>
      <c r="D24" s="348">
        <v>0</v>
      </c>
      <c r="E24" s="380">
        <v>0</v>
      </c>
      <c r="F24" s="380">
        <v>0</v>
      </c>
      <c r="G24" s="380">
        <v>0</v>
      </c>
      <c r="H24" s="380">
        <v>0</v>
      </c>
      <c r="I24" s="380">
        <v>0</v>
      </c>
      <c r="J24" s="380">
        <v>0</v>
      </c>
      <c r="K24" s="384">
        <v>0</v>
      </c>
      <c r="L24" s="35"/>
    </row>
    <row r="25" spans="2:12">
      <c r="B25" s="370" t="s">
        <v>632</v>
      </c>
      <c r="C25" s="153" t="s">
        <v>125</v>
      </c>
      <c r="D25" s="348">
        <v>0</v>
      </c>
      <c r="E25" s="380">
        <v>0</v>
      </c>
      <c r="F25" s="380">
        <v>0</v>
      </c>
      <c r="G25" s="380">
        <v>0</v>
      </c>
      <c r="H25" s="380">
        <v>0</v>
      </c>
      <c r="I25" s="380">
        <v>0</v>
      </c>
      <c r="J25" s="380">
        <v>0</v>
      </c>
      <c r="K25" s="384">
        <v>0</v>
      </c>
      <c r="L25" s="35"/>
    </row>
    <row r="26" spans="2:12">
      <c r="B26" s="370" t="s">
        <v>633</v>
      </c>
      <c r="C26" s="153" t="s">
        <v>125</v>
      </c>
      <c r="D26" s="348">
        <v>0</v>
      </c>
      <c r="E26" s="380">
        <v>0</v>
      </c>
      <c r="F26" s="380">
        <v>0</v>
      </c>
      <c r="G26" s="380">
        <v>0</v>
      </c>
      <c r="H26" s="380">
        <v>0</v>
      </c>
      <c r="I26" s="380">
        <v>0</v>
      </c>
      <c r="J26" s="380">
        <v>0</v>
      </c>
      <c r="K26" s="384">
        <v>0</v>
      </c>
      <c r="L26" s="35"/>
    </row>
    <row r="27" spans="2:12">
      <c r="B27" s="370" t="s">
        <v>634</v>
      </c>
      <c r="C27" s="153" t="s">
        <v>125</v>
      </c>
      <c r="D27" s="381">
        <v>0</v>
      </c>
      <c r="E27" s="382">
        <v>0</v>
      </c>
      <c r="F27" s="382">
        <v>0</v>
      </c>
      <c r="G27" s="382">
        <v>0</v>
      </c>
      <c r="H27" s="382">
        <v>0</v>
      </c>
      <c r="I27" s="382">
        <v>0</v>
      </c>
      <c r="J27" s="382">
        <v>0</v>
      </c>
      <c r="K27" s="385">
        <v>0</v>
      </c>
      <c r="L27" s="35"/>
    </row>
    <row r="28" spans="2:12">
      <c r="B28" s="13" t="s">
        <v>19</v>
      </c>
      <c r="C28" s="153" t="s">
        <v>125</v>
      </c>
      <c r="D28" s="143">
        <f t="shared" ref="D28:K28" si="1">SUM(D8,D11:D27)</f>
        <v>39.29999999999999</v>
      </c>
      <c r="E28" s="144">
        <f t="shared" si="1"/>
        <v>38.799999999999997</v>
      </c>
      <c r="F28" s="144">
        <f t="shared" si="1"/>
        <v>37.251288239999994</v>
      </c>
      <c r="G28" s="144">
        <f t="shared" si="1"/>
        <v>37.247566710000001</v>
      </c>
      <c r="H28" s="144">
        <f t="shared" si="1"/>
        <v>39.992103669999999</v>
      </c>
      <c r="I28" s="144">
        <f t="shared" si="1"/>
        <v>36.509606759999997</v>
      </c>
      <c r="J28" s="144">
        <f t="shared" si="1"/>
        <v>33.430565419999994</v>
      </c>
      <c r="K28" s="145">
        <f t="shared" si="1"/>
        <v>43.32368623749143</v>
      </c>
      <c r="L28" s="35"/>
    </row>
    <row r="29" spans="2:12">
      <c r="B29" s="371" t="s">
        <v>523</v>
      </c>
      <c r="C29" s="153" t="s">
        <v>125</v>
      </c>
      <c r="D29" s="388"/>
      <c r="E29" s="389"/>
      <c r="F29" s="389"/>
      <c r="G29" s="651"/>
      <c r="H29" s="651"/>
      <c r="I29" s="651"/>
      <c r="J29" s="651"/>
      <c r="K29" s="582">
        <v>4.0241737290914728</v>
      </c>
      <c r="L29" s="35"/>
    </row>
    <row r="30" spans="2:12">
      <c r="B30" s="347" t="s">
        <v>297</v>
      </c>
      <c r="C30" s="153" t="s">
        <v>125</v>
      </c>
      <c r="D30" s="934">
        <f>SUM(D28:D29)</f>
        <v>39.29999999999999</v>
      </c>
      <c r="E30" s="935">
        <f t="shared" ref="E30:K30" si="2">SUM(E28:E29)</f>
        <v>38.799999999999997</v>
      </c>
      <c r="F30" s="935">
        <f t="shared" si="2"/>
        <v>37.251288239999994</v>
      </c>
      <c r="G30" s="935">
        <f t="shared" si="2"/>
        <v>37.247566710000001</v>
      </c>
      <c r="H30" s="935">
        <f t="shared" si="2"/>
        <v>39.992103669999999</v>
      </c>
      <c r="I30" s="935">
        <f t="shared" si="2"/>
        <v>36.509606759999997</v>
      </c>
      <c r="J30" s="935">
        <f t="shared" si="2"/>
        <v>33.430565419999994</v>
      </c>
      <c r="K30" s="936">
        <f t="shared" si="2"/>
        <v>47.347859966582902</v>
      </c>
    </row>
    <row r="31" spans="2:12">
      <c r="B31" s="214" t="s">
        <v>20</v>
      </c>
      <c r="C31" s="153" t="s">
        <v>125</v>
      </c>
      <c r="D31" s="578">
        <v>20.850808579999999</v>
      </c>
      <c r="E31" s="579">
        <v>20.851048310000003</v>
      </c>
      <c r="F31" s="579">
        <v>20.851288239999999</v>
      </c>
      <c r="G31" s="579">
        <v>20.85152836</v>
      </c>
      <c r="H31" s="579">
        <v>20.851768699999994</v>
      </c>
      <c r="I31" s="579">
        <v>20.852009229999997</v>
      </c>
      <c r="J31" s="579">
        <v>20.852249960000002</v>
      </c>
      <c r="K31" s="937">
        <v>20.852249960000002</v>
      </c>
    </row>
    <row r="32" spans="2:12">
      <c r="B32" s="214" t="s">
        <v>456</v>
      </c>
      <c r="C32" s="153" t="s">
        <v>125</v>
      </c>
      <c r="D32" s="938">
        <v>18.449191419999991</v>
      </c>
      <c r="E32" s="939">
        <v>17.948951689999994</v>
      </c>
      <c r="F32" s="939">
        <v>16.399999999999995</v>
      </c>
      <c r="G32" s="939">
        <v>16.396038350000001</v>
      </c>
      <c r="H32" s="939">
        <v>19.140334970000001</v>
      </c>
      <c r="I32" s="939">
        <v>15.65759753</v>
      </c>
      <c r="J32" s="939">
        <v>12.578315459999992</v>
      </c>
      <c r="K32" s="940">
        <v>26.495610006582901</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517</v>
      </c>
      <c r="C35" s="153" t="s">
        <v>125</v>
      </c>
      <c r="D35" s="582"/>
      <c r="E35" s="583"/>
      <c r="F35" s="583"/>
      <c r="G35" s="583"/>
      <c r="H35" s="583"/>
      <c r="I35" s="583"/>
      <c r="J35" s="583"/>
      <c r="K35" s="652"/>
    </row>
    <row r="36" spans="2:14">
      <c r="D36" s="23"/>
      <c r="E36" s="23"/>
      <c r="F36" s="23"/>
      <c r="G36" s="23"/>
      <c r="H36" s="23"/>
      <c r="I36" s="23"/>
      <c r="J36" s="23"/>
      <c r="K36" s="23"/>
    </row>
    <row r="37" spans="2:14">
      <c r="B37" s="214" t="s">
        <v>79</v>
      </c>
      <c r="C37" s="153" t="s">
        <v>125</v>
      </c>
      <c r="D37" s="830">
        <v>10.89730740609437</v>
      </c>
      <c r="E37" s="941">
        <v>21.99318359653563</v>
      </c>
      <c r="F37" s="941">
        <v>40.290111399589506</v>
      </c>
      <c r="G37" s="941">
        <v>34.457636736653505</v>
      </c>
      <c r="H37" s="941">
        <v>30.582926002795489</v>
      </c>
      <c r="I37" s="941">
        <v>15.06997616162243</v>
      </c>
      <c r="J37" s="941">
        <v>73.537719316470827</v>
      </c>
      <c r="K37" s="942">
        <v>116.42860909150365</v>
      </c>
      <c r="N37" s="323"/>
    </row>
    <row r="38" spans="2:14" s="31" customFormat="1">
      <c r="B38" s="213"/>
      <c r="C38" s="776"/>
      <c r="D38" s="778"/>
      <c r="E38" s="778"/>
      <c r="F38" s="778"/>
      <c r="G38" s="778"/>
      <c r="H38" s="778"/>
      <c r="I38" s="778"/>
      <c r="J38" s="778"/>
      <c r="K38" s="778"/>
      <c r="L38"/>
      <c r="M38"/>
      <c r="N38" s="777"/>
    </row>
    <row r="39" spans="2:14">
      <c r="B39" s="214" t="s">
        <v>470</v>
      </c>
      <c r="C39" s="153" t="s">
        <v>125</v>
      </c>
      <c r="D39" s="103">
        <f t="shared" ref="D39:K39" si="3">D30-D37</f>
        <v>28.40269259390562</v>
      </c>
      <c r="E39" s="104">
        <f t="shared" si="3"/>
        <v>16.806816403464367</v>
      </c>
      <c r="F39" s="104">
        <f t="shared" si="3"/>
        <v>-3.0388231595895121</v>
      </c>
      <c r="G39" s="104">
        <f t="shared" si="3"/>
        <v>2.7899299733464957</v>
      </c>
      <c r="H39" s="104">
        <f t="shared" si="3"/>
        <v>9.40917766720451</v>
      </c>
      <c r="I39" s="104">
        <f t="shared" si="3"/>
        <v>21.439630598377569</v>
      </c>
      <c r="J39" s="104">
        <f t="shared" si="3"/>
        <v>-40.107153896470834</v>
      </c>
      <c r="K39" s="105">
        <f t="shared" si="3"/>
        <v>-69.080749124920743</v>
      </c>
    </row>
    <row r="40" spans="2:14">
      <c r="B40" s="214"/>
      <c r="C40" s="153"/>
      <c r="D40" s="153"/>
      <c r="E40" s="153"/>
      <c r="F40" s="153"/>
      <c r="G40" s="153"/>
      <c r="H40" s="153"/>
      <c r="I40" s="153"/>
      <c r="J40" s="153"/>
      <c r="K40" s="153"/>
      <c r="L40" s="153"/>
      <c r="N40" s="323"/>
    </row>
    <row r="41" spans="2:14">
      <c r="B41" s="802" t="s">
        <v>366</v>
      </c>
      <c r="C41" s="153" t="s">
        <v>124</v>
      </c>
      <c r="D41" s="502">
        <f>Data!C34</f>
        <v>1.0603167467048125</v>
      </c>
      <c r="E41" s="943">
        <f>Data!D34</f>
        <v>1.0830366813119445</v>
      </c>
      <c r="F41" s="943">
        <f>Data!E34</f>
        <v>1.1235639113109226</v>
      </c>
      <c r="G41" s="943">
        <f>Data!F34</f>
        <v>1.1578951670583426</v>
      </c>
      <c r="H41" s="943">
        <f>Data!G34</f>
        <v>1.1878696229692449</v>
      </c>
      <c r="I41" s="943">
        <f>Data!H34</f>
        <v>1.202275126868976</v>
      </c>
      <c r="J41" s="943">
        <f>Data!I34</f>
        <v>1.2717209904294811</v>
      </c>
      <c r="K41" s="944">
        <f>Data!J34</f>
        <v>1.3772738326351281</v>
      </c>
      <c r="L41" s="153"/>
      <c r="N41" s="323"/>
    </row>
    <row r="42" spans="2:14">
      <c r="L42" s="156"/>
      <c r="M42" s="156"/>
      <c r="N42" s="156"/>
    </row>
    <row r="43" spans="2:14">
      <c r="B43" s="787" t="s">
        <v>418</v>
      </c>
      <c r="C43" s="157" t="str">
        <f>'RFPR cover'!$C$14</f>
        <v>£m 12/13</v>
      </c>
      <c r="D43" s="146">
        <f t="shared" ref="D43:K43" si="4">D39/D41</f>
        <v>26.786988588243815</v>
      </c>
      <c r="E43" s="147">
        <f t="shared" si="4"/>
        <v>15.518233771274769</v>
      </c>
      <c r="F43" s="147">
        <f t="shared" si="4"/>
        <v>-2.7046286633075933</v>
      </c>
      <c r="G43" s="147">
        <f t="shared" si="4"/>
        <v>2.4094840817363221</v>
      </c>
      <c r="H43" s="147">
        <f t="shared" si="4"/>
        <v>7.9210525172661335</v>
      </c>
      <c r="I43" s="147">
        <f t="shared" si="4"/>
        <v>17.832549405069795</v>
      </c>
      <c r="J43" s="147">
        <f t="shared" si="4"/>
        <v>-31.537699069452326</v>
      </c>
      <c r="K43" s="148">
        <f t="shared" si="4"/>
        <v>-50.157599373502251</v>
      </c>
      <c r="L43" s="657">
        <f>SUM(D43:INDEX(D43:K43,0,MATCH('RFPR cover'!$C$7,$D$6:$K$6,0)))</f>
        <v>36.225980630830904</v>
      </c>
      <c r="M43" s="658">
        <f>SUM(D43:K43)</f>
        <v>-13.931618742671347</v>
      </c>
    </row>
    <row r="44" spans="2:14">
      <c r="B44" s="214"/>
      <c r="C44" s="66"/>
      <c r="D44" s="761"/>
      <c r="E44" s="761"/>
      <c r="F44" s="761"/>
      <c r="G44" s="761"/>
      <c r="H44" s="761"/>
      <c r="I44" s="761"/>
      <c r="J44" s="761"/>
      <c r="K44" s="761"/>
      <c r="L44" s="782"/>
      <c r="M44" s="782"/>
    </row>
    <row r="45" spans="2:14">
      <c r="B45" s="787" t="s">
        <v>505</v>
      </c>
      <c r="C45" s="153"/>
      <c r="D45" s="761"/>
      <c r="E45" s="761"/>
      <c r="F45" s="761"/>
      <c r="G45" s="761"/>
      <c r="H45" s="761"/>
      <c r="I45" s="761"/>
      <c r="J45" s="761"/>
      <c r="K45" s="761"/>
      <c r="L45" s="782"/>
      <c r="M45" s="782"/>
    </row>
    <row r="46" spans="2:14">
      <c r="B46" s="370" t="s">
        <v>490</v>
      </c>
      <c r="C46" s="153" t="s">
        <v>125</v>
      </c>
      <c r="D46" s="945">
        <v>0</v>
      </c>
      <c r="E46" s="946">
        <v>0</v>
      </c>
      <c r="F46" s="946">
        <v>0</v>
      </c>
      <c r="G46" s="946">
        <v>0</v>
      </c>
      <c r="H46" s="946">
        <v>0</v>
      </c>
      <c r="I46" s="946">
        <v>0</v>
      </c>
      <c r="J46" s="946">
        <v>0</v>
      </c>
      <c r="K46" s="947">
        <v>0</v>
      </c>
      <c r="L46" s="657">
        <f>SUM(D46:INDEX(D46:K46,0,MATCH('RFPR cover'!$C$7,$D$6:$K$6,0)))</f>
        <v>0</v>
      </c>
      <c r="M46" s="658">
        <f>SUM(D46:K46)</f>
        <v>0</v>
      </c>
    </row>
    <row r="47" spans="2:14">
      <c r="B47" s="370" t="s">
        <v>526</v>
      </c>
      <c r="C47" s="153" t="s">
        <v>125</v>
      </c>
      <c r="D47" s="948"/>
      <c r="E47" s="949"/>
      <c r="F47" s="949"/>
      <c r="G47" s="950"/>
      <c r="H47" s="950"/>
      <c r="I47" s="950"/>
      <c r="J47" s="950"/>
      <c r="K47" s="951"/>
      <c r="L47" s="657">
        <f>SUM(D47:INDEX(D47:K47,0,MATCH('RFPR cover'!$C$7,$D$6:$K$6,0)))</f>
        <v>0</v>
      </c>
      <c r="M47" s="658">
        <f>SUM(D47:K47)</f>
        <v>0</v>
      </c>
    </row>
    <row r="48" spans="2:14">
      <c r="B48" s="370" t="s">
        <v>508</v>
      </c>
      <c r="C48" s="153" t="s">
        <v>125</v>
      </c>
      <c r="D48" s="952">
        <v>0</v>
      </c>
      <c r="E48" s="953">
        <v>0</v>
      </c>
      <c r="F48" s="953">
        <v>0</v>
      </c>
      <c r="G48" s="953">
        <v>0</v>
      </c>
      <c r="H48" s="953">
        <v>0</v>
      </c>
      <c r="I48" s="953">
        <v>0</v>
      </c>
      <c r="J48" s="953">
        <v>0</v>
      </c>
      <c r="K48" s="954">
        <v>0</v>
      </c>
      <c r="L48" s="657">
        <f>SUM(D48:INDEX(D48:K48,0,MATCH('RFPR cover'!$C$7,$D$6:$K$6,0)))</f>
        <v>0</v>
      </c>
      <c r="M48" s="658">
        <f t="shared" ref="M48:M55" si="5">SUM(D48:K48)</f>
        <v>0</v>
      </c>
    </row>
    <row r="49" spans="1:14">
      <c r="B49" s="370" t="s">
        <v>509</v>
      </c>
      <c r="C49" s="153" t="s">
        <v>125</v>
      </c>
      <c r="D49" s="952">
        <v>0</v>
      </c>
      <c r="E49" s="953">
        <v>0</v>
      </c>
      <c r="F49" s="953">
        <v>0</v>
      </c>
      <c r="G49" s="953">
        <v>0</v>
      </c>
      <c r="H49" s="953">
        <v>0</v>
      </c>
      <c r="I49" s="953">
        <v>0</v>
      </c>
      <c r="J49" s="953">
        <v>0</v>
      </c>
      <c r="K49" s="954">
        <v>0</v>
      </c>
      <c r="L49" s="657">
        <f>SUM(D49:INDEX(D49:K49,0,MATCH('RFPR cover'!$C$7,$D$6:$K$6,0)))</f>
        <v>0</v>
      </c>
      <c r="M49" s="658">
        <f t="shared" si="5"/>
        <v>0</v>
      </c>
    </row>
    <row r="50" spans="1:14">
      <c r="B50" s="370" t="s">
        <v>635</v>
      </c>
      <c r="C50" s="153" t="s">
        <v>125</v>
      </c>
      <c r="D50" s="952">
        <v>0</v>
      </c>
      <c r="E50" s="953">
        <v>0</v>
      </c>
      <c r="F50" s="953">
        <v>0</v>
      </c>
      <c r="G50" s="953">
        <v>0</v>
      </c>
      <c r="H50" s="953">
        <v>0</v>
      </c>
      <c r="I50" s="953">
        <v>0</v>
      </c>
      <c r="J50" s="953">
        <v>0</v>
      </c>
      <c r="K50" s="954">
        <v>0</v>
      </c>
      <c r="L50" s="657">
        <f>SUM(D50:INDEX(D50:K50,0,MATCH('RFPR cover'!$C$7,$D$6:$K$6,0)))</f>
        <v>0</v>
      </c>
      <c r="M50" s="658">
        <f t="shared" si="5"/>
        <v>0</v>
      </c>
    </row>
    <row r="51" spans="1:14">
      <c r="B51" s="370" t="s">
        <v>635</v>
      </c>
      <c r="C51" s="153" t="s">
        <v>125</v>
      </c>
      <c r="D51" s="952">
        <v>0</v>
      </c>
      <c r="E51" s="953">
        <v>0</v>
      </c>
      <c r="F51" s="953">
        <v>0</v>
      </c>
      <c r="G51" s="953">
        <v>0</v>
      </c>
      <c r="H51" s="953">
        <v>0</v>
      </c>
      <c r="I51" s="953">
        <v>0</v>
      </c>
      <c r="J51" s="953">
        <v>0</v>
      </c>
      <c r="K51" s="954">
        <v>0</v>
      </c>
      <c r="L51" s="657">
        <f>SUM(D51:INDEX(D51:K51,0,MATCH('RFPR cover'!$C$7,$D$6:$K$6,0)))</f>
        <v>0</v>
      </c>
      <c r="M51" s="658">
        <f t="shared" si="5"/>
        <v>0</v>
      </c>
    </row>
    <row r="52" spans="1:14">
      <c r="B52" s="370" t="s">
        <v>635</v>
      </c>
      <c r="C52" s="153" t="s">
        <v>125</v>
      </c>
      <c r="D52" s="952">
        <v>0</v>
      </c>
      <c r="E52" s="953">
        <v>0</v>
      </c>
      <c r="F52" s="953">
        <v>0</v>
      </c>
      <c r="G52" s="953">
        <v>0</v>
      </c>
      <c r="H52" s="953">
        <v>0</v>
      </c>
      <c r="I52" s="953">
        <v>0</v>
      </c>
      <c r="J52" s="953">
        <v>0</v>
      </c>
      <c r="K52" s="954">
        <v>0</v>
      </c>
      <c r="L52" s="657">
        <f>SUM(D52:INDEX(D52:K52,0,MATCH('RFPR cover'!$C$7,$D$6:$K$6,0)))</f>
        <v>0</v>
      </c>
      <c r="M52" s="658">
        <f t="shared" si="5"/>
        <v>0</v>
      </c>
    </row>
    <row r="53" spans="1:14">
      <c r="B53" s="370" t="s">
        <v>635</v>
      </c>
      <c r="C53" s="153" t="s">
        <v>125</v>
      </c>
      <c r="D53" s="955">
        <v>0</v>
      </c>
      <c r="E53" s="956">
        <v>0</v>
      </c>
      <c r="F53" s="956">
        <v>0</v>
      </c>
      <c r="G53" s="956">
        <v>0</v>
      </c>
      <c r="H53" s="956">
        <v>0</v>
      </c>
      <c r="I53" s="956">
        <v>0</v>
      </c>
      <c r="J53" s="956">
        <v>0</v>
      </c>
      <c r="K53" s="957">
        <v>0</v>
      </c>
      <c r="L53" s="657">
        <f>SUM(D53:INDEX(D53:K53,0,MATCH('RFPR cover'!$C$7,$D$6:$K$6,0)))</f>
        <v>0</v>
      </c>
      <c r="M53" s="658">
        <f t="shared" si="5"/>
        <v>0</v>
      </c>
    </row>
    <row r="54" spans="1:14" s="814" customFormat="1">
      <c r="B54" s="813"/>
      <c r="C54" s="815"/>
      <c r="D54" s="958"/>
      <c r="E54" s="958"/>
      <c r="F54" s="958"/>
      <c r="G54" s="958"/>
      <c r="H54" s="958"/>
      <c r="I54" s="958"/>
      <c r="J54" s="958"/>
      <c r="K54" s="958"/>
      <c r="L54" s="816"/>
      <c r="M54" s="816"/>
    </row>
    <row r="55" spans="1:14">
      <c r="B55" s="808" t="s">
        <v>506</v>
      </c>
      <c r="C55" s="236" t="s">
        <v>125</v>
      </c>
      <c r="D55" s="959">
        <f>SUM(D46:D53)</f>
        <v>0</v>
      </c>
      <c r="E55" s="960">
        <f t="shared" ref="E55:K55" si="6">SUM(E46:E53)</f>
        <v>0</v>
      </c>
      <c r="F55" s="960">
        <f t="shared" si="6"/>
        <v>0</v>
      </c>
      <c r="G55" s="960">
        <f t="shared" si="6"/>
        <v>0</v>
      </c>
      <c r="H55" s="960">
        <f t="shared" si="6"/>
        <v>0</v>
      </c>
      <c r="I55" s="960">
        <f t="shared" si="6"/>
        <v>0</v>
      </c>
      <c r="J55" s="960">
        <f t="shared" si="6"/>
        <v>0</v>
      </c>
      <c r="K55" s="961">
        <f t="shared" si="6"/>
        <v>0</v>
      </c>
      <c r="L55" s="657">
        <f>SUM(D55:INDEX(D55:K55,0,MATCH('RFPR cover'!$C$7,$D$6:$K$6,0)))</f>
        <v>0</v>
      </c>
      <c r="M55" s="658">
        <f t="shared" si="5"/>
        <v>0</v>
      </c>
    </row>
    <row r="56" spans="1:14">
      <c r="B56" s="808" t="s">
        <v>506</v>
      </c>
      <c r="C56" s="157" t="str">
        <f>'RFPR cover'!$C$14</f>
        <v>£m 12/13</v>
      </c>
      <c r="D56" s="140">
        <f>D55/D41</f>
        <v>0</v>
      </c>
      <c r="E56" s="141">
        <f t="shared" ref="E56:K56" si="7">E55/E41</f>
        <v>0</v>
      </c>
      <c r="F56" s="141">
        <f t="shared" si="7"/>
        <v>0</v>
      </c>
      <c r="G56" s="141">
        <f t="shared" si="7"/>
        <v>0</v>
      </c>
      <c r="H56" s="141">
        <f t="shared" si="7"/>
        <v>0</v>
      </c>
      <c r="I56" s="141">
        <f t="shared" si="7"/>
        <v>0</v>
      </c>
      <c r="J56" s="141">
        <f t="shared" si="7"/>
        <v>0</v>
      </c>
      <c r="K56" s="142">
        <f t="shared" si="7"/>
        <v>0</v>
      </c>
      <c r="L56" s="657">
        <f>SUM(D56:INDEX(D56:K56,0,MATCH('RFPR cover'!$C$7,$D$6:$K$6,0)))</f>
        <v>0</v>
      </c>
      <c r="M56" s="658">
        <f>SUM(D56:K56)</f>
        <v>0</v>
      </c>
    </row>
    <row r="57" spans="1:14">
      <c r="B57" s="214"/>
      <c r="C57" s="66"/>
      <c r="D57" s="761"/>
      <c r="E57" s="761"/>
      <c r="F57" s="761"/>
      <c r="G57" s="761"/>
      <c r="H57" s="761"/>
      <c r="I57" s="761"/>
      <c r="J57" s="761"/>
      <c r="K57" s="761"/>
      <c r="L57" s="782"/>
      <c r="M57" s="782"/>
    </row>
    <row r="58" spans="1:14" s="2" customFormat="1">
      <c r="A58" s="1"/>
    </row>
    <row r="59" spans="1:14" s="2" customFormat="1">
      <c r="A59" s="1"/>
      <c r="B59" s="783" t="s">
        <v>428</v>
      </c>
      <c r="C59" s="81"/>
      <c r="D59" s="81"/>
      <c r="E59" s="81"/>
      <c r="F59" s="81"/>
      <c r="G59" s="81"/>
      <c r="H59" s="81"/>
      <c r="I59" s="81"/>
      <c r="J59" s="81"/>
      <c r="K59" s="81"/>
      <c r="L59" s="81"/>
      <c r="M59" s="81"/>
      <c r="N59" s="81"/>
    </row>
    <row r="60" spans="1:14" s="2" customFormat="1">
      <c r="A60" s="1"/>
      <c r="B60" s="369" t="s">
        <v>429</v>
      </c>
    </row>
    <row r="61" spans="1:14" s="2" customFormat="1">
      <c r="A61" s="1"/>
    </row>
    <row r="62" spans="1:14" s="31" customFormat="1">
      <c r="B62" s="214" t="s">
        <v>112</v>
      </c>
      <c r="C62" s="156" t="s">
        <v>7</v>
      </c>
      <c r="D62" s="962">
        <f>'RFPR cover'!$C$12</f>
        <v>0.65</v>
      </c>
      <c r="E62" s="963">
        <f>'RFPR cover'!$C$12</f>
        <v>0.65</v>
      </c>
      <c r="F62" s="963">
        <f>'RFPR cover'!$C$12</f>
        <v>0.65</v>
      </c>
      <c r="G62" s="963">
        <f>'RFPR cover'!$C$12</f>
        <v>0.65</v>
      </c>
      <c r="H62" s="963">
        <f>'RFPR cover'!$C$12</f>
        <v>0.65</v>
      </c>
      <c r="I62" s="963">
        <f>'RFPR cover'!$C$12</f>
        <v>0.65</v>
      </c>
      <c r="J62" s="963">
        <f>'RFPR cover'!$C$12</f>
        <v>0.65</v>
      </c>
      <c r="K62" s="964">
        <f>'RFPR cover'!$C$12</f>
        <v>0.65</v>
      </c>
      <c r="N62" s="777"/>
    </row>
    <row r="63" spans="1:14" s="31" customFormat="1">
      <c r="B63" s="214" t="s">
        <v>391</v>
      </c>
      <c r="C63" s="156" t="s">
        <v>7</v>
      </c>
      <c r="D63" s="965">
        <f>'R8 - Net Debt'!D64</f>
        <v>0.62520388021837014</v>
      </c>
      <c r="E63" s="966">
        <f>'R8 - Net Debt'!E64</f>
        <v>0.61519194933461074</v>
      </c>
      <c r="F63" s="966">
        <f>'R8 - Net Debt'!F64</f>
        <v>0.61780165382103691</v>
      </c>
      <c r="G63" s="966">
        <f>'R8 - Net Debt'!G64</f>
        <v>0.61818226818390132</v>
      </c>
      <c r="H63" s="966">
        <f>'R8 - Net Debt'!H64</f>
        <v>0.62202839504683105</v>
      </c>
      <c r="I63" s="966">
        <f>'R8 - Net Debt'!I64</f>
        <v>0.6331609502004143</v>
      </c>
      <c r="J63" s="966">
        <f>'R8 - Net Debt'!J64</f>
        <v>0.60746768015373898</v>
      </c>
      <c r="K63" s="967">
        <f>'R8 - Net Debt'!K64</f>
        <v>0.61079328121544707</v>
      </c>
      <c r="N63" s="777"/>
    </row>
    <row r="64" spans="1:14" s="31" customFormat="1">
      <c r="B64" s="214"/>
      <c r="C64" s="156"/>
      <c r="D64" s="156"/>
      <c r="E64" s="156"/>
      <c r="F64" s="156"/>
      <c r="G64" s="156"/>
      <c r="H64" s="156"/>
      <c r="I64" s="156"/>
      <c r="J64" s="156"/>
      <c r="K64" s="156"/>
      <c r="N64" s="777"/>
    </row>
    <row r="65" spans="2:15">
      <c r="B65" s="214" t="s">
        <v>418</v>
      </c>
      <c r="C65" s="153" t="s">
        <v>125</v>
      </c>
      <c r="D65" s="96">
        <f t="shared" ref="D65:K65" si="8">D39</f>
        <v>28.40269259390562</v>
      </c>
      <c r="E65" s="97">
        <f t="shared" si="8"/>
        <v>16.806816403464367</v>
      </c>
      <c r="F65" s="97">
        <f t="shared" si="8"/>
        <v>-3.0388231595895121</v>
      </c>
      <c r="G65" s="97">
        <f t="shared" si="8"/>
        <v>2.7899299733464957</v>
      </c>
      <c r="H65" s="97">
        <f t="shared" si="8"/>
        <v>9.40917766720451</v>
      </c>
      <c r="I65" s="97">
        <f t="shared" si="8"/>
        <v>21.439630598377569</v>
      </c>
      <c r="J65" s="97">
        <f t="shared" si="8"/>
        <v>-40.107153896470834</v>
      </c>
      <c r="K65" s="98">
        <f t="shared" si="8"/>
        <v>-69.080749124920743</v>
      </c>
      <c r="L65" s="31"/>
      <c r="M65" s="31"/>
    </row>
    <row r="66" spans="2:15" s="31" customFormat="1">
      <c r="B66" s="214" t="s">
        <v>434</v>
      </c>
      <c r="C66" s="153" t="s">
        <v>125</v>
      </c>
      <c r="D66" s="99">
        <f>((D62-D63)/D63)*D65</f>
        <v>1.1264750427225547</v>
      </c>
      <c r="E66" s="100">
        <f t="shared" ref="E66:K66" si="9">((E62-E63)/E63)*E65</f>
        <v>0.95094306342667623</v>
      </c>
      <c r="F66" s="100">
        <f t="shared" si="9"/>
        <v>-0.15837620288639931</v>
      </c>
      <c r="G66" s="100">
        <f t="shared" si="9"/>
        <v>0.14359720141831453</v>
      </c>
      <c r="H66" s="100">
        <f t="shared" si="9"/>
        <v>0.42311541199242131</v>
      </c>
      <c r="I66" s="100">
        <f t="shared" si="9"/>
        <v>0.57019152431388453</v>
      </c>
      <c r="J66" s="100">
        <f t="shared" si="9"/>
        <v>-2.8081334256600989</v>
      </c>
      <c r="K66" s="101">
        <f t="shared" si="9"/>
        <v>-4.4342817572868274</v>
      </c>
      <c r="N66" s="777"/>
    </row>
    <row r="67" spans="2:15">
      <c r="B67" s="214" t="s">
        <v>433</v>
      </c>
      <c r="C67" s="153" t="s">
        <v>125</v>
      </c>
      <c r="D67" s="93">
        <f>SUM(D65:D66)</f>
        <v>29.529167636628173</v>
      </c>
      <c r="E67" s="94">
        <f t="shared" ref="E67:K67" si="10">SUM(E65:E66)</f>
        <v>17.757759466891045</v>
      </c>
      <c r="F67" s="94">
        <f t="shared" si="10"/>
        <v>-3.1971993624759114</v>
      </c>
      <c r="G67" s="94">
        <f t="shared" si="10"/>
        <v>2.9335271747648104</v>
      </c>
      <c r="H67" s="94">
        <f t="shared" si="10"/>
        <v>9.8322930791969316</v>
      </c>
      <c r="I67" s="94">
        <f t="shared" si="10"/>
        <v>22.009822122691453</v>
      </c>
      <c r="J67" s="94">
        <f t="shared" si="10"/>
        <v>-42.915287322130936</v>
      </c>
      <c r="K67" s="95">
        <f t="shared" si="10"/>
        <v>-73.515030882207569</v>
      </c>
      <c r="L67" s="31"/>
      <c r="M67" s="31"/>
    </row>
    <row r="68" spans="2:15">
      <c r="B68" s="214"/>
      <c r="C68" s="153"/>
      <c r="D68" s="153"/>
      <c r="E68" s="153"/>
      <c r="F68" s="153"/>
      <c r="G68" s="153"/>
      <c r="H68" s="153"/>
      <c r="I68" s="153"/>
      <c r="J68" s="153"/>
      <c r="K68" s="153"/>
      <c r="L68" s="153"/>
      <c r="M68" s="153"/>
      <c r="N68" s="153"/>
      <c r="O68" s="153"/>
    </row>
    <row r="69" spans="2:15">
      <c r="B69" s="787" t="s">
        <v>433</v>
      </c>
      <c r="C69" s="157" t="str">
        <f>'RFPR cover'!$C$14</f>
        <v>£m 12/13</v>
      </c>
      <c r="D69" s="143">
        <f t="shared" ref="D69:K69" si="11">D67/D41</f>
        <v>27.849383430373155</v>
      </c>
      <c r="E69" s="144">
        <f t="shared" si="11"/>
        <v>16.396267802656556</v>
      </c>
      <c r="F69" s="144">
        <f t="shared" si="11"/>
        <v>-2.8455874474871363</v>
      </c>
      <c r="G69" s="144">
        <f t="shared" si="11"/>
        <v>2.5334998005195053</v>
      </c>
      <c r="H69" s="144">
        <f t="shared" si="11"/>
        <v>8.2772493622824967</v>
      </c>
      <c r="I69" s="144">
        <f t="shared" si="11"/>
        <v>18.306809839783106</v>
      </c>
      <c r="J69" s="144">
        <f t="shared" si="11"/>
        <v>-33.745835482072003</v>
      </c>
      <c r="K69" s="145">
        <f t="shared" si="11"/>
        <v>-53.377207306372611</v>
      </c>
      <c r="L69" s="657">
        <f>SUM(D69:INDEX(D69:K69,0,MATCH('RFPR cover'!$C$7,$D$6:$K$6,0)))</f>
        <v>36.771787306055678</v>
      </c>
      <c r="M69" s="658">
        <f>SUM(D69:K69)</f>
        <v>-16.605420000316933</v>
      </c>
    </row>
    <row r="70" spans="2:15">
      <c r="B70" s="372" t="s">
        <v>507</v>
      </c>
      <c r="C70" s="160" t="str">
        <f>'RFPR cover'!$C$14</f>
        <v>£m 12/13</v>
      </c>
      <c r="D70" s="93">
        <f>D56*((D62-D63)/D63)+D56</f>
        <v>0</v>
      </c>
      <c r="E70" s="94">
        <f t="shared" ref="E70:K70" si="12">E56*((E62-E63)/E63)+E56</f>
        <v>0</v>
      </c>
      <c r="F70" s="94">
        <f t="shared" si="12"/>
        <v>0</v>
      </c>
      <c r="G70" s="94">
        <f t="shared" si="12"/>
        <v>0</v>
      </c>
      <c r="H70" s="94">
        <f t="shared" si="12"/>
        <v>0</v>
      </c>
      <c r="I70" s="94">
        <f t="shared" si="12"/>
        <v>0</v>
      </c>
      <c r="J70" s="94">
        <f t="shared" si="12"/>
        <v>0</v>
      </c>
      <c r="K70" s="95">
        <f t="shared" si="12"/>
        <v>0</v>
      </c>
      <c r="L70" s="653">
        <f>SUM(D70:INDEX(D70:K70,0,MATCH('RFPR cover'!$C$7,$D$6:$K$6,0)))</f>
        <v>0</v>
      </c>
      <c r="M70" s="654">
        <f>SUM(D70:K70)</f>
        <v>0</v>
      </c>
      <c r="N70" s="156"/>
    </row>
    <row r="72" spans="2:15">
      <c r="B72" s="779" t="s">
        <v>310</v>
      </c>
      <c r="C72" s="780"/>
      <c r="D72" s="780"/>
      <c r="E72" s="780"/>
      <c r="F72" s="780"/>
      <c r="G72" s="780"/>
      <c r="H72" s="780"/>
      <c r="I72" s="780"/>
      <c r="J72" s="780"/>
      <c r="K72" s="780"/>
      <c r="L72" s="780"/>
      <c r="M72" s="780"/>
      <c r="N72" s="780"/>
      <c r="O72" s="156"/>
    </row>
    <row r="73" spans="2:15" s="31" customFormat="1">
      <c r="B73" s="781"/>
      <c r="C73" s="66"/>
      <c r="D73" s="66"/>
      <c r="E73" s="66"/>
      <c r="F73" s="66"/>
      <c r="G73" s="66"/>
      <c r="H73" s="66"/>
      <c r="I73" s="66"/>
      <c r="J73" s="66"/>
      <c r="K73" s="66"/>
      <c r="L73" s="66"/>
      <c r="M73" s="66"/>
      <c r="N73" s="66"/>
      <c r="O73" s="66"/>
    </row>
    <row r="74" spans="2:15">
      <c r="B74" s="369" t="s">
        <v>463</v>
      </c>
      <c r="C74" s="368"/>
      <c r="D74" s="368"/>
      <c r="E74" s="368"/>
      <c r="F74" s="368"/>
      <c r="G74" s="368"/>
      <c r="H74" s="368"/>
      <c r="I74" s="368"/>
      <c r="J74" s="368"/>
      <c r="K74" s="368"/>
      <c r="L74" s="368"/>
      <c r="M74" s="368"/>
      <c r="N74" s="368"/>
      <c r="O74" s="156"/>
    </row>
    <row r="75" spans="2:15">
      <c r="B75" s="369" t="s">
        <v>339</v>
      </c>
      <c r="C75" s="368"/>
      <c r="D75" s="368"/>
      <c r="E75" s="368"/>
      <c r="F75" s="368"/>
      <c r="G75" s="368"/>
      <c r="H75" s="368"/>
      <c r="I75" s="368"/>
      <c r="J75" s="368"/>
      <c r="K75" s="368"/>
      <c r="L75" s="368"/>
      <c r="M75" s="368"/>
      <c r="N75" s="368"/>
      <c r="O75" s="156"/>
    </row>
    <row r="76" spans="2:15">
      <c r="B76" s="369" t="s">
        <v>340</v>
      </c>
      <c r="C76" s="368"/>
      <c r="D76" s="368"/>
      <c r="E76" s="368"/>
      <c r="F76" s="368"/>
      <c r="G76" s="368"/>
      <c r="H76" s="368"/>
      <c r="I76" s="368"/>
      <c r="J76" s="368"/>
      <c r="K76" s="368"/>
      <c r="L76" s="368"/>
      <c r="M76" s="368"/>
      <c r="N76" s="368"/>
      <c r="O76" s="156"/>
    </row>
    <row r="77" spans="2:15">
      <c r="B77" s="369" t="s">
        <v>513</v>
      </c>
      <c r="C77" s="368"/>
      <c r="D77" s="368"/>
      <c r="E77" s="368"/>
      <c r="F77" s="368"/>
      <c r="G77" s="368"/>
      <c r="H77" s="368"/>
      <c r="I77" s="368"/>
      <c r="J77" s="368"/>
      <c r="K77" s="368"/>
      <c r="L77" s="368"/>
      <c r="M77" s="368"/>
      <c r="N77" s="368"/>
      <c r="O77" s="156"/>
    </row>
    <row r="78" spans="2:15" s="31" customFormat="1">
      <c r="B78" s="373"/>
      <c r="C78" s="373"/>
      <c r="D78" s="373"/>
      <c r="E78" s="373"/>
      <c r="F78" s="373"/>
      <c r="G78" s="373"/>
      <c r="H78" s="373"/>
      <c r="I78" s="373"/>
      <c r="J78" s="373"/>
      <c r="K78" s="373"/>
      <c r="L78" s="373"/>
      <c r="M78" s="373"/>
      <c r="N78" s="373"/>
      <c r="O78" s="66"/>
    </row>
    <row r="79" spans="2:15">
      <c r="B79" s="372" t="s">
        <v>226</v>
      </c>
      <c r="C79" s="156" t="str">
        <f>'RFPR cover'!$C$14</f>
        <v>£m 12/13</v>
      </c>
      <c r="D79" s="578">
        <v>24.906242004950435</v>
      </c>
      <c r="E79" s="579">
        <v>23.918386547887007</v>
      </c>
      <c r="F79" s="579">
        <v>22.929642278625675</v>
      </c>
      <c r="G79" s="579">
        <v>21.220716860004629</v>
      </c>
      <c r="H79" s="579">
        <v>19.938467268091514</v>
      </c>
      <c r="I79" s="579">
        <v>18.445036665605731</v>
      </c>
      <c r="J79" s="579">
        <v>16.807217601366279</v>
      </c>
      <c r="K79" s="937">
        <v>0</v>
      </c>
      <c r="L79" s="843"/>
      <c r="M79" s="843"/>
      <c r="O79" s="66"/>
    </row>
    <row r="80" spans="2:15">
      <c r="B80" s="372" t="s">
        <v>309</v>
      </c>
      <c r="C80" s="156" t="str">
        <f>'RFPR cover'!$C$14</f>
        <v>£m 12/13</v>
      </c>
      <c r="D80" s="655">
        <f>'R9 - RAV'!D49</f>
        <v>24.827313418320202</v>
      </c>
      <c r="E80" s="656">
        <f>'R9 - RAV'!E49</f>
        <v>23.744057421085838</v>
      </c>
      <c r="F80" s="656">
        <f>'R9 - RAV'!F49</f>
        <v>22.720210104708347</v>
      </c>
      <c r="G80" s="656">
        <f>'R9 - RAV'!G49</f>
        <v>21.07431061169607</v>
      </c>
      <c r="H80" s="656">
        <f>'R9 - RAV'!H49</f>
        <v>19.900353346662968</v>
      </c>
      <c r="I80" s="656">
        <f>'R9 - RAV'!I49</f>
        <v>18.484105355928879</v>
      </c>
      <c r="J80" s="656">
        <f>'R9 - RAV'!J49</f>
        <v>16.931361284531135</v>
      </c>
      <c r="K80" s="969">
        <f>'R9 - RAV'!K49</f>
        <v>15.431920052666603</v>
      </c>
      <c r="L80" s="968">
        <f>SUM(D80:INDEX(D80:K80,0,MATCH('RFPR cover'!$C$7,$D$6:$K$6,0)))</f>
        <v>147.68171154293344</v>
      </c>
      <c r="M80" s="844">
        <f>SUM(D80:K80)</f>
        <v>163.11363159560005</v>
      </c>
      <c r="O80" s="66"/>
    </row>
    <row r="81" spans="2:15" s="31" customFormat="1">
      <c r="B81" s="784"/>
      <c r="C81" s="66"/>
      <c r="D81" s="785"/>
      <c r="E81" s="785"/>
      <c r="F81" s="785"/>
      <c r="G81" s="785"/>
      <c r="H81" s="785"/>
      <c r="I81" s="785"/>
      <c r="J81" s="785"/>
      <c r="K81" s="785"/>
      <c r="L81" s="782"/>
      <c r="M81" s="782"/>
      <c r="O81" s="66"/>
    </row>
    <row r="82" spans="2:15" s="31" customFormat="1">
      <c r="B82" s="784"/>
      <c r="C82" s="66"/>
      <c r="D82" s="785"/>
      <c r="E82" s="786"/>
      <c r="F82" s="786"/>
      <c r="G82" s="786"/>
      <c r="H82" s="786"/>
      <c r="I82" s="786"/>
      <c r="J82" s="786"/>
      <c r="K82" s="786"/>
      <c r="L82" s="782"/>
      <c r="M82" s="782"/>
      <c r="O82" s="66"/>
    </row>
    <row r="83" spans="2:15">
      <c r="B83" s="788" t="s">
        <v>419</v>
      </c>
      <c r="C83" s="780"/>
      <c r="D83" s="780"/>
      <c r="E83" s="780"/>
      <c r="F83" s="780"/>
      <c r="G83" s="780"/>
      <c r="H83" s="780"/>
      <c r="I83" s="780"/>
      <c r="J83" s="780"/>
      <c r="K83" s="780"/>
      <c r="L83" s="780"/>
      <c r="M83" s="780"/>
      <c r="N83" s="780"/>
    </row>
    <row r="84" spans="2:15">
      <c r="B84" s="372"/>
      <c r="C84" s="156"/>
      <c r="D84" s="156"/>
      <c r="E84" s="156"/>
      <c r="F84" s="156"/>
      <c r="G84" s="156"/>
      <c r="H84" s="156"/>
      <c r="I84" s="156"/>
      <c r="J84" s="156"/>
      <c r="K84" s="156"/>
      <c r="L84" s="156"/>
      <c r="M84" s="156"/>
      <c r="N84" s="156"/>
    </row>
    <row r="85" spans="2:15">
      <c r="B85" s="803" t="s">
        <v>471</v>
      </c>
      <c r="C85" s="156"/>
      <c r="D85" s="156"/>
      <c r="E85" s="156"/>
      <c r="F85" s="156"/>
      <c r="G85" s="156"/>
      <c r="H85" s="156"/>
      <c r="I85" s="156"/>
      <c r="J85" s="156"/>
      <c r="K85" s="156"/>
      <c r="L85" s="156"/>
      <c r="M85" s="156"/>
      <c r="N85" s="156"/>
    </row>
    <row r="86" spans="2:15">
      <c r="B86" s="214" t="s">
        <v>472</v>
      </c>
      <c r="C86" s="156" t="str">
        <f>'RFPR cover'!$C$14</f>
        <v>£m 12/13</v>
      </c>
      <c r="D86" s="146">
        <f>D80-D43-D56</f>
        <v>-1.9596751699236137</v>
      </c>
      <c r="E86" s="147">
        <f t="shared" ref="E86:K86" si="13">E80-E43-E56</f>
        <v>8.2258236498110691</v>
      </c>
      <c r="F86" s="147">
        <f t="shared" si="13"/>
        <v>25.424838768015938</v>
      </c>
      <c r="G86" s="147">
        <f t="shared" si="13"/>
        <v>18.664826529959747</v>
      </c>
      <c r="H86" s="147">
        <f t="shared" si="13"/>
        <v>11.979300829396834</v>
      </c>
      <c r="I86" s="147">
        <f t="shared" si="13"/>
        <v>0.65155595085908402</v>
      </c>
      <c r="J86" s="147">
        <f t="shared" si="13"/>
        <v>48.469060353983465</v>
      </c>
      <c r="K86" s="148">
        <f t="shared" si="13"/>
        <v>65.589519426168849</v>
      </c>
      <c r="L86" s="657">
        <f>SUM(D86:INDEX(D86:K86,0,MATCH('RFPR cover'!$C$7,$D$6:$K$6,0)))</f>
        <v>111.45573091210252</v>
      </c>
      <c r="M86" s="658">
        <f>SUM(D86:K86)</f>
        <v>177.04525033827139</v>
      </c>
    </row>
    <row r="87" spans="2:15">
      <c r="B87" s="214"/>
    </row>
    <row r="88" spans="2:15">
      <c r="B88" s="214" t="s">
        <v>473</v>
      </c>
      <c r="C88" s="156" t="str">
        <f>'RFPR cover'!$C$14</f>
        <v>£m 12/13</v>
      </c>
      <c r="D88" s="146">
        <f>D80-D69-D70</f>
        <v>-3.0220700120529536</v>
      </c>
      <c r="E88" s="147">
        <f t="shared" ref="E88:K88" si="14">E80-E69-E70</f>
        <v>7.3477896184292817</v>
      </c>
      <c r="F88" s="147">
        <f t="shared" si="14"/>
        <v>25.565797552195484</v>
      </c>
      <c r="G88" s="147">
        <f t="shared" si="14"/>
        <v>18.540810811176566</v>
      </c>
      <c r="H88" s="147">
        <f t="shared" si="14"/>
        <v>11.623103984380471</v>
      </c>
      <c r="I88" s="147">
        <f t="shared" si="14"/>
        <v>0.17729551614577232</v>
      </c>
      <c r="J88" s="147">
        <f t="shared" si="14"/>
        <v>50.677196766603139</v>
      </c>
      <c r="K88" s="148">
        <f t="shared" si="14"/>
        <v>68.809127359039209</v>
      </c>
      <c r="L88" s="657">
        <f>SUM(D88:INDEX(D88:K88,0,MATCH('RFPR cover'!$C$7,$D$6:$K$6,0)))</f>
        <v>110.90992423687777</v>
      </c>
      <c r="M88" s="658">
        <f>SUM(D88:K88)</f>
        <v>179.71905159591699</v>
      </c>
    </row>
    <row r="89" spans="2:15">
      <c r="B89" s="214"/>
    </row>
    <row r="90" spans="2:15">
      <c r="B90" s="214" t="s">
        <v>474</v>
      </c>
      <c r="C90" s="156" t="str">
        <f>'RFPR cover'!$C$14</f>
        <v>£m 12/13</v>
      </c>
      <c r="D90" s="146">
        <f t="shared" ref="D90:K90" si="15">D86-D88</f>
        <v>1.0623948421293399</v>
      </c>
      <c r="E90" s="147">
        <f t="shared" si="15"/>
        <v>0.87803403138178737</v>
      </c>
      <c r="F90" s="147">
        <f t="shared" si="15"/>
        <v>-0.14095878417954566</v>
      </c>
      <c r="G90" s="147">
        <f t="shared" si="15"/>
        <v>0.12401571878318052</v>
      </c>
      <c r="H90" s="147">
        <f t="shared" si="15"/>
        <v>0.35619684501636328</v>
      </c>
      <c r="I90" s="147">
        <f t="shared" si="15"/>
        <v>0.4742604347133117</v>
      </c>
      <c r="J90" s="147">
        <f t="shared" si="15"/>
        <v>-2.2081364126196732</v>
      </c>
      <c r="K90" s="148">
        <f t="shared" si="15"/>
        <v>-3.2196079328703604</v>
      </c>
      <c r="L90" s="657">
        <f>SUM(D90:INDEX(D90:K90,0,MATCH('RFPR cover'!$C$7,$D$6:$K$6,0)))</f>
        <v>0.54580667522476389</v>
      </c>
      <c r="M90" s="658">
        <f>SUM(D90:K90)</f>
        <v>-2.6738012576455965</v>
      </c>
    </row>
    <row r="91" spans="2:15">
      <c r="B91" s="201"/>
    </row>
    <row r="94" spans="2:15">
      <c r="B94" s="14" t="s">
        <v>572</v>
      </c>
    </row>
    <row r="95" spans="2:15">
      <c r="B95" s="788" t="s">
        <v>419</v>
      </c>
      <c r="C95" s="895"/>
      <c r="D95" s="895"/>
      <c r="E95" s="895"/>
      <c r="F95" s="895"/>
      <c r="G95" s="895"/>
      <c r="H95" s="895"/>
      <c r="I95" s="895"/>
      <c r="J95" s="895"/>
      <c r="K95" s="895"/>
      <c r="L95" s="895"/>
      <c r="M95" s="895"/>
      <c r="N95" s="895"/>
    </row>
    <row r="96" spans="2:15">
      <c r="B96" s="214"/>
      <c r="C96" s="896"/>
      <c r="D96" s="896"/>
      <c r="E96" s="896"/>
      <c r="F96" s="896"/>
      <c r="G96" s="896"/>
      <c r="H96" s="896"/>
      <c r="I96" s="896"/>
      <c r="J96" s="896"/>
      <c r="K96" s="896"/>
      <c r="L96" s="896"/>
      <c r="M96" s="896"/>
      <c r="N96" s="896"/>
    </row>
    <row r="97" spans="2:14">
      <c r="B97" s="16" t="s">
        <v>471</v>
      </c>
      <c r="C97" s="896"/>
      <c r="D97" s="896"/>
      <c r="E97" s="896"/>
      <c r="F97" s="896"/>
      <c r="G97" s="896"/>
      <c r="H97" s="896"/>
      <c r="I97" s="896"/>
      <c r="J97" s="896"/>
      <c r="K97" s="896"/>
      <c r="L97" s="896"/>
      <c r="M97" s="896"/>
      <c r="N97" s="896"/>
    </row>
    <row r="98" spans="2:14">
      <c r="B98" s="214" t="s">
        <v>472</v>
      </c>
      <c r="C98" s="896" t="s">
        <v>156</v>
      </c>
      <c r="D98" s="146">
        <f t="shared" ref="D98:K98" si="16">D80-D56-(D30/D41)</f>
        <v>-12.237082784167526</v>
      </c>
      <c r="E98" s="147">
        <f t="shared" si="16"/>
        <v>-12.081137301773712</v>
      </c>
      <c r="F98" s="147">
        <f t="shared" si="16"/>
        <v>-10.434368700280952</v>
      </c>
      <c r="G98" s="147">
        <f t="shared" si="16"/>
        <v>-11.094030503871622</v>
      </c>
      <c r="H98" s="147">
        <f t="shared" si="16"/>
        <v>-13.766728374001111</v>
      </c>
      <c r="I98" s="147">
        <f>I80-I56-(I30/I41)</f>
        <v>-11.882992776659218</v>
      </c>
      <c r="J98" s="147">
        <f t="shared" si="16"/>
        <v>-9.3562958915212491</v>
      </c>
      <c r="K98" s="148">
        <f t="shared" si="16"/>
        <v>-18.946036490653889</v>
      </c>
      <c r="L98" s="657">
        <f>SUM(D98:INDEX(D98:K98,0,MATCH('RFPR cover'!$C$7,$D$6:$K$6,0)))</f>
        <v>-80.852636332275381</v>
      </c>
      <c r="M98" s="658">
        <f>SUM(D98:K98)</f>
        <v>-99.798672822929262</v>
      </c>
    </row>
    <row r="99" spans="2:14">
      <c r="B99" s="214"/>
    </row>
    <row r="100" spans="2:14">
      <c r="B100" s="214" t="s">
        <v>473</v>
      </c>
      <c r="C100" s="896" t="s">
        <v>156</v>
      </c>
      <c r="D100" s="146">
        <f t="shared" ref="D100:K100" si="17">D80-D110</f>
        <v>-13.707088388658761</v>
      </c>
      <c r="E100" s="147">
        <f t="shared" si="17"/>
        <v>-14.108155363956566</v>
      </c>
      <c r="F100" s="147">
        <f t="shared" si="17"/>
        <v>-12.162306136476293</v>
      </c>
      <c r="G100" s="147">
        <f t="shared" si="17"/>
        <v>-12.749729321618084</v>
      </c>
      <c r="H100" s="147">
        <f t="shared" si="17"/>
        <v>-15.280682266323943</v>
      </c>
      <c r="I100" s="147">
        <f t="shared" si="17"/>
        <v>-12.690612194062801</v>
      </c>
      <c r="J100" s="147">
        <f t="shared" si="17"/>
        <v>-11.196846557093707</v>
      </c>
      <c r="K100" s="148">
        <f t="shared" si="17"/>
        <v>-21.152751783755022</v>
      </c>
      <c r="L100" s="657">
        <f>SUM(D100:INDEX(D100:K100,0,MATCH('RFPR cover'!$C$7,$D$6:$K$6,0)))</f>
        <v>-91.895420228190162</v>
      </c>
      <c r="M100" s="658">
        <f>SUM(D100:K100)</f>
        <v>-113.04817201194518</v>
      </c>
    </row>
    <row r="101" spans="2:14">
      <c r="B101" s="214"/>
    </row>
    <row r="102" spans="2:14">
      <c r="B102" s="214" t="s">
        <v>474</v>
      </c>
      <c r="C102" s="896" t="s">
        <v>156</v>
      </c>
      <c r="D102" s="146">
        <f>D98-D100</f>
        <v>1.4700056044912344</v>
      </c>
      <c r="E102" s="147">
        <f t="shared" ref="E102:K102" si="18">E98-E100</f>
        <v>2.0270180621828544</v>
      </c>
      <c r="F102" s="147">
        <f t="shared" si="18"/>
        <v>1.7279374361953401</v>
      </c>
      <c r="G102" s="147">
        <f t="shared" si="18"/>
        <v>1.6556988177464618</v>
      </c>
      <c r="H102" s="147">
        <f t="shared" si="18"/>
        <v>1.5139538923228315</v>
      </c>
      <c r="I102" s="147">
        <f t="shared" si="18"/>
        <v>0.80761941740358267</v>
      </c>
      <c r="J102" s="147">
        <f t="shared" si="18"/>
        <v>1.8405506655724579</v>
      </c>
      <c r="K102" s="148">
        <f t="shared" si="18"/>
        <v>2.2067152931011336</v>
      </c>
      <c r="L102" s="657">
        <f>SUM(D102:INDEX(D102:K102,0,MATCH('RFPR cover'!$C$7,$D$6:$K$6,0)))</f>
        <v>11.042783895914763</v>
      </c>
      <c r="M102" s="658">
        <f>SUM(D102:K102)</f>
        <v>13.249499189015896</v>
      </c>
    </row>
    <row r="107" spans="2:14">
      <c r="B107" s="214" t="s">
        <v>418</v>
      </c>
      <c r="C107" s="153" t="s">
        <v>125</v>
      </c>
      <c r="D107" s="96">
        <f>D30</f>
        <v>39.29999999999999</v>
      </c>
      <c r="E107" s="97">
        <f t="shared" ref="E107:K107" si="19">E30</f>
        <v>38.799999999999997</v>
      </c>
      <c r="F107" s="97">
        <f t="shared" si="19"/>
        <v>37.251288239999994</v>
      </c>
      <c r="G107" s="97">
        <f t="shared" si="19"/>
        <v>37.247566710000001</v>
      </c>
      <c r="H107" s="97">
        <f t="shared" si="19"/>
        <v>39.992103669999999</v>
      </c>
      <c r="I107" s="97">
        <f t="shared" si="19"/>
        <v>36.509606759999997</v>
      </c>
      <c r="J107" s="97">
        <f t="shared" si="19"/>
        <v>33.430565419999994</v>
      </c>
      <c r="K107" s="98">
        <f t="shared" si="19"/>
        <v>47.347859966582902</v>
      </c>
    </row>
    <row r="108" spans="2:14">
      <c r="B108" s="214" t="s">
        <v>434</v>
      </c>
      <c r="C108" s="153" t="s">
        <v>125</v>
      </c>
      <c r="D108" s="99">
        <f>((D62-D63)/D63)*D107</f>
        <v>1.5586715601919914</v>
      </c>
      <c r="E108" s="100">
        <f t="shared" ref="E108:K108" si="20">((E62-E63)/E63)*E107</f>
        <v>2.1953349150258812</v>
      </c>
      <c r="F108" s="100">
        <f t="shared" si="20"/>
        <v>1.9414481443121951</v>
      </c>
      <c r="G108" s="100">
        <f t="shared" si="20"/>
        <v>1.9171256591728445</v>
      </c>
      <c r="H108" s="100">
        <f t="shared" si="20"/>
        <v>1.7983798392663393</v>
      </c>
      <c r="I108" s="100">
        <f t="shared" si="20"/>
        <v>0.97098073752074132</v>
      </c>
      <c r="J108" s="100">
        <f t="shared" si="20"/>
        <v>2.3406669153574429</v>
      </c>
      <c r="K108" s="101">
        <f t="shared" si="20"/>
        <v>3.0392512292639493</v>
      </c>
    </row>
    <row r="109" spans="2:14">
      <c r="B109" s="214" t="s">
        <v>433</v>
      </c>
      <c r="C109" s="153" t="s">
        <v>125</v>
      </c>
      <c r="D109" s="99">
        <f>SUM(D107:D108)</f>
        <v>40.858671560191979</v>
      </c>
      <c r="E109" s="100">
        <f t="shared" ref="E109:K109" si="21">SUM(E107:E108)</f>
        <v>40.995334915025879</v>
      </c>
      <c r="F109" s="100">
        <f t="shared" si="21"/>
        <v>39.192736384312191</v>
      </c>
      <c r="G109" s="100">
        <f t="shared" si="21"/>
        <v>39.164692369172847</v>
      </c>
      <c r="H109" s="100">
        <f t="shared" si="21"/>
        <v>41.790483509266338</v>
      </c>
      <c r="I109" s="100">
        <f t="shared" si="21"/>
        <v>37.480587497520737</v>
      </c>
      <c r="J109" s="100">
        <f t="shared" si="21"/>
        <v>35.771232335357439</v>
      </c>
      <c r="K109" s="101">
        <f t="shared" si="21"/>
        <v>50.387111195846849</v>
      </c>
    </row>
    <row r="110" spans="2:14">
      <c r="B110" s="214" t="s">
        <v>433</v>
      </c>
      <c r="C110" s="896" t="s">
        <v>156</v>
      </c>
      <c r="D110" s="93">
        <f t="shared" ref="D110:K110" si="22">D109/D41</f>
        <v>38.534401806978963</v>
      </c>
      <c r="E110" s="94">
        <f t="shared" si="22"/>
        <v>37.852212785042404</v>
      </c>
      <c r="F110" s="94">
        <f t="shared" si="22"/>
        <v>34.882516241184639</v>
      </c>
      <c r="G110" s="94">
        <f t="shared" si="22"/>
        <v>33.824039933314154</v>
      </c>
      <c r="H110" s="94">
        <f t="shared" si="22"/>
        <v>35.181035612986911</v>
      </c>
      <c r="I110" s="94">
        <f t="shared" si="22"/>
        <v>31.17471754999168</v>
      </c>
      <c r="J110" s="94">
        <f t="shared" si="22"/>
        <v>28.128207841624842</v>
      </c>
      <c r="K110" s="95">
        <f t="shared" si="22"/>
        <v>36.584671836421627</v>
      </c>
    </row>
  </sheetData>
  <conditionalFormatting sqref="D6:K6">
    <cfRule type="expression" dxfId="68" priority="22">
      <formula>AND(D$5="Actuals",E$5="Forecast")</formula>
    </cfRule>
  </conditionalFormatting>
  <conditionalFormatting sqref="D5:K5">
    <cfRule type="expression" dxfId="67" priority="15">
      <formula>AND(D$5="Actuals",E$5="Forecast")</formula>
    </cfRule>
  </conditionalFormatting>
  <conditionalFormatting sqref="D29:G29 I29:J29">
    <cfRule type="expression" dxfId="66" priority="13">
      <formula>D$5="Forecast"</formula>
    </cfRule>
    <cfRule type="expression" dxfId="65" priority="14">
      <formula>D$5="Actuals"</formula>
    </cfRule>
  </conditionalFormatting>
  <conditionalFormatting sqref="D47:G47">
    <cfRule type="expression" dxfId="64" priority="7">
      <formula>D$5="Forecast"</formula>
    </cfRule>
    <cfRule type="expression" dxfId="63" priority="8">
      <formula>D$5="Actuals"</formula>
    </cfRule>
  </conditionalFormatting>
  <conditionalFormatting sqref="I47:K47">
    <cfRule type="expression" dxfId="62" priority="5">
      <formula>I$5="Forecast"</formula>
    </cfRule>
    <cfRule type="expression" dxfId="61" priority="6">
      <formula>I$5="Actuals"</formula>
    </cfRule>
  </conditionalFormatting>
  <conditionalFormatting sqref="H47">
    <cfRule type="expression" dxfId="60" priority="3">
      <formula>H$5="Forecast"</formula>
    </cfRule>
    <cfRule type="expression" dxfId="59" priority="4">
      <formula>H$5="Actuals"</formula>
    </cfRule>
  </conditionalFormatting>
  <conditionalFormatting sqref="H29">
    <cfRule type="expression" dxfId="58" priority="1">
      <formula>H$5="Forecast"</formula>
    </cfRule>
    <cfRule type="expression" dxfId="57" priority="2">
      <formula>H$5="Actuals"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50" t="s">
        <v>230</v>
      </c>
      <c r="B1" s="860"/>
      <c r="C1" s="257"/>
      <c r="D1" s="257"/>
      <c r="E1" s="257"/>
      <c r="F1" s="257"/>
      <c r="G1" s="257"/>
      <c r="H1" s="257"/>
      <c r="I1" s="258"/>
      <c r="J1" s="258"/>
      <c r="K1" s="259"/>
      <c r="L1" s="364"/>
    </row>
    <row r="2" spans="1:12" s="31" customFormat="1" ht="20.25">
      <c r="A2" s="853" t="str">
        <f>'RFPR cover'!C5</f>
        <v>SPD</v>
      </c>
      <c r="B2" s="845"/>
      <c r="C2" s="29"/>
      <c r="D2" s="29"/>
      <c r="E2" s="29"/>
      <c r="F2" s="29"/>
      <c r="G2" s="29"/>
      <c r="H2" s="29"/>
      <c r="I2" s="27"/>
      <c r="J2" s="27"/>
      <c r="K2" s="27"/>
      <c r="L2" s="124"/>
    </row>
    <row r="3" spans="1:12" s="31" customFormat="1" ht="23.25">
      <c r="A3" s="856">
        <f>'RFPR cover'!C7</f>
        <v>2022</v>
      </c>
      <c r="B3" s="862"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503</v>
      </c>
      <c r="C8" s="153" t="s">
        <v>125</v>
      </c>
      <c r="D8" s="679">
        <v>0</v>
      </c>
      <c r="E8" s="970">
        <f>D10</f>
        <v>0</v>
      </c>
      <c r="F8" s="970">
        <f t="shared" ref="F8:K8" si="1">E10</f>
        <v>0</v>
      </c>
      <c r="G8" s="970">
        <f t="shared" si="1"/>
        <v>0</v>
      </c>
      <c r="H8" s="970">
        <f t="shared" si="1"/>
        <v>0</v>
      </c>
      <c r="I8" s="970">
        <f t="shared" si="1"/>
        <v>0</v>
      </c>
      <c r="J8" s="970">
        <f t="shared" si="1"/>
        <v>0</v>
      </c>
      <c r="K8" s="971">
        <f t="shared" si="1"/>
        <v>0</v>
      </c>
    </row>
    <row r="9" spans="1:12" s="2" customFormat="1">
      <c r="B9" s="214"/>
    </row>
    <row r="10" spans="1:12">
      <c r="B10" s="214" t="s">
        <v>504</v>
      </c>
      <c r="C10" s="153" t="s">
        <v>125</v>
      </c>
      <c r="D10" s="659">
        <v>0</v>
      </c>
      <c r="E10" s="660">
        <v>0</v>
      </c>
      <c r="F10" s="660">
        <v>0</v>
      </c>
      <c r="G10" s="660">
        <v>0</v>
      </c>
      <c r="H10" s="660">
        <v>0</v>
      </c>
      <c r="I10" s="660">
        <v>0</v>
      </c>
      <c r="J10" s="660">
        <v>0</v>
      </c>
      <c r="K10" s="661">
        <v>0</v>
      </c>
    </row>
    <row r="11" spans="1:12">
      <c r="B11" s="214" t="s">
        <v>360</v>
      </c>
      <c r="C11" s="153" t="s">
        <v>125</v>
      </c>
      <c r="D11" s="662">
        <v>347</v>
      </c>
      <c r="E11" s="663">
        <v>347.3</v>
      </c>
      <c r="F11" s="663">
        <v>347.6</v>
      </c>
      <c r="G11" s="663">
        <v>347.9</v>
      </c>
      <c r="H11" s="663">
        <v>348.2</v>
      </c>
      <c r="I11" s="663">
        <v>348.46238539000001</v>
      </c>
      <c r="J11" s="663">
        <v>348.75213534999995</v>
      </c>
      <c r="K11" s="664">
        <v>348.96800000000002</v>
      </c>
    </row>
    <row r="12" spans="1:12">
      <c r="B12" s="214" t="s">
        <v>361</v>
      </c>
      <c r="C12" s="153" t="s">
        <v>125</v>
      </c>
      <c r="D12" s="662">
        <v>690</v>
      </c>
      <c r="E12" s="663">
        <v>699.8</v>
      </c>
      <c r="F12" s="663">
        <v>765</v>
      </c>
      <c r="G12" s="663">
        <v>801.2</v>
      </c>
      <c r="H12" s="663">
        <v>865.5</v>
      </c>
      <c r="I12" s="663">
        <v>980</v>
      </c>
      <c r="J12" s="663">
        <v>985</v>
      </c>
      <c r="K12" s="664">
        <v>860</v>
      </c>
    </row>
    <row r="13" spans="1:12">
      <c r="B13" s="214" t="s">
        <v>362</v>
      </c>
      <c r="C13" s="153" t="s">
        <v>125</v>
      </c>
      <c r="D13" s="662">
        <v>-31.3</v>
      </c>
      <c r="E13" s="663">
        <v>0</v>
      </c>
      <c r="F13" s="663">
        <v>-6.3</v>
      </c>
      <c r="G13" s="663">
        <v>0</v>
      </c>
      <c r="H13" s="663">
        <v>0</v>
      </c>
      <c r="I13" s="663">
        <v>-56.83913313</v>
      </c>
      <c r="J13" s="663">
        <v>-59.145380869999997</v>
      </c>
      <c r="K13" s="664">
        <v>0</v>
      </c>
    </row>
    <row r="14" spans="1:12">
      <c r="B14" s="214" t="s">
        <v>363</v>
      </c>
      <c r="C14" s="153" t="s">
        <v>125</v>
      </c>
      <c r="D14" s="662">
        <v>0</v>
      </c>
      <c r="E14" s="663">
        <v>0</v>
      </c>
      <c r="F14" s="663">
        <v>0</v>
      </c>
      <c r="G14" s="663">
        <v>0</v>
      </c>
      <c r="H14" s="663">
        <v>0</v>
      </c>
      <c r="I14" s="663">
        <v>0</v>
      </c>
      <c r="J14" s="663">
        <v>0</v>
      </c>
      <c r="K14" s="664">
        <v>0</v>
      </c>
    </row>
    <row r="15" spans="1:12">
      <c r="B15" s="214" t="s">
        <v>285</v>
      </c>
      <c r="C15" s="153" t="s">
        <v>125</v>
      </c>
      <c r="D15" s="662">
        <v>0</v>
      </c>
      <c r="E15" s="663">
        <v>0</v>
      </c>
      <c r="F15" s="663">
        <v>0</v>
      </c>
      <c r="G15" s="663">
        <v>0</v>
      </c>
      <c r="H15" s="663">
        <v>0</v>
      </c>
      <c r="I15" s="663">
        <v>0</v>
      </c>
      <c r="J15" s="663">
        <v>0</v>
      </c>
      <c r="K15" s="664">
        <v>0</v>
      </c>
    </row>
    <row r="16" spans="1:12">
      <c r="B16" s="214" t="s">
        <v>286</v>
      </c>
      <c r="C16" s="153" t="s">
        <v>125</v>
      </c>
      <c r="D16" s="662">
        <v>0</v>
      </c>
      <c r="E16" s="663">
        <v>0</v>
      </c>
      <c r="F16" s="663">
        <v>0</v>
      </c>
      <c r="G16" s="663">
        <v>0</v>
      </c>
      <c r="H16" s="663">
        <v>0</v>
      </c>
      <c r="I16" s="663">
        <v>0</v>
      </c>
      <c r="J16" s="663">
        <v>0</v>
      </c>
      <c r="K16" s="664">
        <v>0</v>
      </c>
    </row>
    <row r="17" spans="2:13">
      <c r="B17" s="214" t="s">
        <v>290</v>
      </c>
      <c r="C17" s="153" t="s">
        <v>125</v>
      </c>
      <c r="D17" s="662">
        <v>0</v>
      </c>
      <c r="E17" s="663">
        <v>0</v>
      </c>
      <c r="F17" s="663">
        <v>0</v>
      </c>
      <c r="G17" s="663">
        <v>0</v>
      </c>
      <c r="H17" s="663">
        <v>0</v>
      </c>
      <c r="I17" s="663">
        <v>0</v>
      </c>
      <c r="J17" s="663">
        <v>0</v>
      </c>
      <c r="K17" s="664">
        <v>0</v>
      </c>
    </row>
    <row r="18" spans="2:13">
      <c r="B18" s="214" t="s">
        <v>291</v>
      </c>
      <c r="C18" s="153" t="s">
        <v>125</v>
      </c>
      <c r="D18" s="662">
        <v>0</v>
      </c>
      <c r="E18" s="663">
        <v>0</v>
      </c>
      <c r="F18" s="663">
        <v>0</v>
      </c>
      <c r="G18" s="663">
        <v>0</v>
      </c>
      <c r="H18" s="663">
        <v>0</v>
      </c>
      <c r="I18" s="663">
        <v>0</v>
      </c>
      <c r="J18" s="663">
        <v>0</v>
      </c>
      <c r="K18" s="664">
        <v>0</v>
      </c>
    </row>
    <row r="19" spans="2:13">
      <c r="B19" s="214" t="s">
        <v>292</v>
      </c>
      <c r="C19" s="153" t="s">
        <v>125</v>
      </c>
      <c r="D19" s="662">
        <v>0</v>
      </c>
      <c r="E19" s="663">
        <v>0</v>
      </c>
      <c r="F19" s="663">
        <v>0</v>
      </c>
      <c r="G19" s="663">
        <v>0</v>
      </c>
      <c r="H19" s="663">
        <v>0</v>
      </c>
      <c r="I19" s="663">
        <v>0</v>
      </c>
      <c r="J19" s="663">
        <v>0</v>
      </c>
      <c r="K19" s="664">
        <v>0</v>
      </c>
    </row>
    <row r="20" spans="2:13">
      <c r="B20" s="214" t="s">
        <v>293</v>
      </c>
      <c r="C20" s="153" t="s">
        <v>125</v>
      </c>
      <c r="D20" s="662">
        <v>0</v>
      </c>
      <c r="E20" s="663">
        <v>0</v>
      </c>
      <c r="F20" s="663">
        <v>0</v>
      </c>
      <c r="G20" s="663">
        <v>0</v>
      </c>
      <c r="H20" s="663">
        <v>0</v>
      </c>
      <c r="I20" s="663">
        <v>0</v>
      </c>
      <c r="J20" s="663">
        <v>0</v>
      </c>
      <c r="K20" s="664">
        <v>0</v>
      </c>
    </row>
    <row r="21" spans="2:13">
      <c r="B21" s="214" t="s">
        <v>294</v>
      </c>
      <c r="C21" s="153" t="s">
        <v>125</v>
      </c>
      <c r="D21" s="662">
        <v>0</v>
      </c>
      <c r="E21" s="663">
        <v>0</v>
      </c>
      <c r="F21" s="663">
        <v>0</v>
      </c>
      <c r="G21" s="663">
        <v>0</v>
      </c>
      <c r="H21" s="663">
        <v>0</v>
      </c>
      <c r="I21" s="663">
        <v>0</v>
      </c>
      <c r="J21" s="663">
        <v>0</v>
      </c>
      <c r="K21" s="664">
        <v>0</v>
      </c>
    </row>
    <row r="22" spans="2:13">
      <c r="B22" s="214" t="s">
        <v>295</v>
      </c>
      <c r="C22" s="153" t="s">
        <v>125</v>
      </c>
      <c r="D22" s="662">
        <v>0</v>
      </c>
      <c r="E22" s="663">
        <v>0</v>
      </c>
      <c r="F22" s="663">
        <v>0</v>
      </c>
      <c r="G22" s="663">
        <v>0</v>
      </c>
      <c r="H22" s="663">
        <v>0</v>
      </c>
      <c r="I22" s="663">
        <v>0</v>
      </c>
      <c r="J22" s="663">
        <v>0</v>
      </c>
      <c r="K22" s="664">
        <v>0</v>
      </c>
    </row>
    <row r="23" spans="2:13">
      <c r="B23" s="14" t="s">
        <v>311</v>
      </c>
      <c r="C23" s="236" t="s">
        <v>125</v>
      </c>
      <c r="D23" s="665">
        <f>SUM(D10:D22)</f>
        <v>1005.7</v>
      </c>
      <c r="E23" s="970">
        <f t="shared" ref="E23:K23" si="2">SUM(E10:E22)</f>
        <v>1047.0999999999999</v>
      </c>
      <c r="F23" s="970">
        <f t="shared" si="2"/>
        <v>1106.3</v>
      </c>
      <c r="G23" s="970">
        <f t="shared" si="2"/>
        <v>1149.0999999999999</v>
      </c>
      <c r="H23" s="970">
        <f t="shared" si="2"/>
        <v>1213.7</v>
      </c>
      <c r="I23" s="970">
        <f t="shared" si="2"/>
        <v>1271.6232522600001</v>
      </c>
      <c r="J23" s="970">
        <f t="shared" si="2"/>
        <v>1274.6067544799998</v>
      </c>
      <c r="K23" s="971">
        <f t="shared" si="2"/>
        <v>1208.9680000000001</v>
      </c>
      <c r="L23" s="2"/>
      <c r="M23" s="324"/>
    </row>
    <row r="24" spans="2:13">
      <c r="B24" s="14"/>
      <c r="C24" s="153"/>
      <c r="D24" s="240"/>
      <c r="E24" s="240"/>
      <c r="F24" s="240"/>
      <c r="G24" s="240"/>
      <c r="H24" s="240"/>
      <c r="I24" s="240"/>
      <c r="J24" s="240"/>
      <c r="K24" s="240"/>
      <c r="L24" s="2"/>
      <c r="M24" s="2"/>
    </row>
    <row r="25" spans="2:13">
      <c r="B25" s="14" t="s">
        <v>120</v>
      </c>
      <c r="C25" s="16"/>
      <c r="D25" s="241"/>
      <c r="E25" s="241"/>
      <c r="F25" s="241"/>
      <c r="G25" s="241"/>
      <c r="H25" s="241"/>
      <c r="I25" s="241"/>
      <c r="J25" s="241"/>
      <c r="K25" s="241"/>
      <c r="L25" s="2"/>
      <c r="M25" s="2"/>
    </row>
    <row r="26" spans="2:13">
      <c r="B26" s="370" t="s">
        <v>515</v>
      </c>
      <c r="C26" s="153" t="s">
        <v>125</v>
      </c>
      <c r="D26" s="378">
        <v>0</v>
      </c>
      <c r="E26" s="379">
        <v>0</v>
      </c>
      <c r="F26" s="379">
        <v>0</v>
      </c>
      <c r="G26" s="379">
        <v>0</v>
      </c>
      <c r="H26" s="379">
        <v>0</v>
      </c>
      <c r="I26" s="379">
        <v>0</v>
      </c>
      <c r="J26" s="379">
        <v>0</v>
      </c>
      <c r="K26" s="383">
        <v>0</v>
      </c>
      <c r="L26" s="2"/>
      <c r="M26" s="2"/>
    </row>
    <row r="27" spans="2:13">
      <c r="B27" s="370" t="s">
        <v>8</v>
      </c>
      <c r="C27" s="153" t="s">
        <v>125</v>
      </c>
      <c r="D27" s="348">
        <v>0</v>
      </c>
      <c r="E27" s="380">
        <v>0</v>
      </c>
      <c r="F27" s="380">
        <v>0</v>
      </c>
      <c r="G27" s="380">
        <v>0</v>
      </c>
      <c r="H27" s="380">
        <v>0</v>
      </c>
      <c r="I27" s="380">
        <v>0</v>
      </c>
      <c r="J27" s="380">
        <v>0</v>
      </c>
      <c r="K27" s="384">
        <v>0</v>
      </c>
      <c r="L27" s="35"/>
      <c r="M27" s="35"/>
    </row>
    <row r="28" spans="2:13">
      <c r="B28" s="370" t="s">
        <v>9</v>
      </c>
      <c r="C28" s="153" t="s">
        <v>125</v>
      </c>
      <c r="D28" s="348">
        <v>0</v>
      </c>
      <c r="E28" s="380">
        <v>0</v>
      </c>
      <c r="F28" s="380">
        <v>0</v>
      </c>
      <c r="G28" s="380">
        <v>0</v>
      </c>
      <c r="H28" s="380">
        <v>0</v>
      </c>
      <c r="I28" s="380">
        <v>0</v>
      </c>
      <c r="J28" s="380">
        <v>0</v>
      </c>
      <c r="K28" s="384">
        <v>0</v>
      </c>
      <c r="L28" s="35"/>
      <c r="M28" s="35"/>
    </row>
    <row r="29" spans="2:13">
      <c r="B29" s="370" t="s">
        <v>10</v>
      </c>
      <c r="C29" s="153" t="s">
        <v>125</v>
      </c>
      <c r="D29" s="348">
        <v>0</v>
      </c>
      <c r="E29" s="380">
        <v>0</v>
      </c>
      <c r="F29" s="380">
        <v>0</v>
      </c>
      <c r="G29" s="380">
        <v>0</v>
      </c>
      <c r="H29" s="380">
        <v>0</v>
      </c>
      <c r="I29" s="380">
        <v>0</v>
      </c>
      <c r="J29" s="380">
        <v>0</v>
      </c>
      <c r="K29" s="384">
        <v>0</v>
      </c>
      <c r="L29" s="35"/>
      <c r="M29" s="35"/>
    </row>
    <row r="30" spans="2:13">
      <c r="B30" s="370" t="s">
        <v>344</v>
      </c>
      <c r="C30" s="153" t="s">
        <v>125</v>
      </c>
      <c r="D30" s="348">
        <v>0</v>
      </c>
      <c r="E30" s="380">
        <v>0</v>
      </c>
      <c r="F30" s="380">
        <v>0</v>
      </c>
      <c r="G30" s="380">
        <v>0</v>
      </c>
      <c r="H30" s="380">
        <v>0</v>
      </c>
      <c r="I30" s="380">
        <v>0</v>
      </c>
      <c r="J30" s="380">
        <v>0</v>
      </c>
      <c r="K30" s="384">
        <v>0</v>
      </c>
    </row>
    <row r="31" spans="2:13">
      <c r="B31" s="370" t="s">
        <v>345</v>
      </c>
      <c r="C31" s="153" t="s">
        <v>125</v>
      </c>
      <c r="D31" s="348">
        <v>0</v>
      </c>
      <c r="E31" s="380">
        <v>0</v>
      </c>
      <c r="F31" s="380">
        <v>0</v>
      </c>
      <c r="G31" s="380">
        <v>0</v>
      </c>
      <c r="H31" s="380">
        <v>0</v>
      </c>
      <c r="I31" s="380">
        <v>0</v>
      </c>
      <c r="J31" s="380">
        <v>0</v>
      </c>
      <c r="K31" s="384">
        <v>0</v>
      </c>
    </row>
    <row r="32" spans="2:13" ht="12.75" customHeight="1">
      <c r="B32" s="370" t="s">
        <v>346</v>
      </c>
      <c r="C32" s="153" t="s">
        <v>125</v>
      </c>
      <c r="D32" s="348">
        <v>0</v>
      </c>
      <c r="E32" s="380">
        <v>0</v>
      </c>
      <c r="F32" s="380">
        <v>0</v>
      </c>
      <c r="G32" s="380">
        <v>0</v>
      </c>
      <c r="H32" s="380">
        <v>0</v>
      </c>
      <c r="I32" s="380">
        <v>0</v>
      </c>
      <c r="J32" s="380">
        <v>0</v>
      </c>
      <c r="K32" s="384">
        <v>0</v>
      </c>
    </row>
    <row r="33" spans="2:12">
      <c r="B33" s="370" t="s">
        <v>347</v>
      </c>
      <c r="C33" s="153" t="s">
        <v>125</v>
      </c>
      <c r="D33" s="348">
        <v>0</v>
      </c>
      <c r="E33" s="380">
        <v>0</v>
      </c>
      <c r="F33" s="380">
        <v>0</v>
      </c>
      <c r="G33" s="380">
        <v>0</v>
      </c>
      <c r="H33" s="380">
        <v>0</v>
      </c>
      <c r="I33" s="380">
        <v>0</v>
      </c>
      <c r="J33" s="380">
        <v>0</v>
      </c>
      <c r="K33" s="384">
        <v>0</v>
      </c>
    </row>
    <row r="34" spans="2:12">
      <c r="B34" s="370" t="s">
        <v>348</v>
      </c>
      <c r="C34" s="153" t="s">
        <v>125</v>
      </c>
      <c r="D34" s="348">
        <v>0</v>
      </c>
      <c r="E34" s="380">
        <v>0</v>
      </c>
      <c r="F34" s="380">
        <v>0</v>
      </c>
      <c r="G34" s="380">
        <v>0</v>
      </c>
      <c r="H34" s="380">
        <v>0</v>
      </c>
      <c r="I34" s="380">
        <v>0</v>
      </c>
      <c r="J34" s="380">
        <v>0</v>
      </c>
      <c r="K34" s="384">
        <v>0</v>
      </c>
    </row>
    <row r="35" spans="2:12">
      <c r="B35" s="370" t="s">
        <v>349</v>
      </c>
      <c r="C35" s="153" t="s">
        <v>125</v>
      </c>
      <c r="D35" s="348">
        <v>0</v>
      </c>
      <c r="E35" s="380">
        <v>0</v>
      </c>
      <c r="F35" s="380">
        <v>0</v>
      </c>
      <c r="G35" s="380">
        <v>0</v>
      </c>
      <c r="H35" s="380">
        <v>0</v>
      </c>
      <c r="I35" s="380">
        <v>0</v>
      </c>
      <c r="J35" s="380">
        <v>0</v>
      </c>
      <c r="K35" s="384">
        <v>0</v>
      </c>
    </row>
    <row r="36" spans="2:12">
      <c r="B36" s="370" t="s">
        <v>350</v>
      </c>
      <c r="C36" s="153" t="s">
        <v>125</v>
      </c>
      <c r="D36" s="348">
        <v>0</v>
      </c>
      <c r="E36" s="380">
        <v>0</v>
      </c>
      <c r="F36" s="380">
        <v>0</v>
      </c>
      <c r="G36" s="380">
        <v>0</v>
      </c>
      <c r="H36" s="380">
        <v>0</v>
      </c>
      <c r="I36" s="380">
        <v>0</v>
      </c>
      <c r="J36" s="380">
        <v>0</v>
      </c>
      <c r="K36" s="384">
        <v>0</v>
      </c>
    </row>
    <row r="37" spans="2:12">
      <c r="B37" s="370" t="s">
        <v>351</v>
      </c>
      <c r="C37" s="153" t="s">
        <v>125</v>
      </c>
      <c r="D37" s="348">
        <v>0</v>
      </c>
      <c r="E37" s="380">
        <v>0</v>
      </c>
      <c r="F37" s="380">
        <v>0</v>
      </c>
      <c r="G37" s="380">
        <v>0</v>
      </c>
      <c r="H37" s="380">
        <v>0</v>
      </c>
      <c r="I37" s="380">
        <v>0</v>
      </c>
      <c r="J37" s="380">
        <v>0</v>
      </c>
      <c r="K37" s="384">
        <v>0</v>
      </c>
    </row>
    <row r="38" spans="2:12">
      <c r="B38" s="370" t="s">
        <v>352</v>
      </c>
      <c r="C38" s="153" t="s">
        <v>125</v>
      </c>
      <c r="D38" s="348">
        <v>0</v>
      </c>
      <c r="E38" s="380">
        <v>0</v>
      </c>
      <c r="F38" s="380">
        <v>0</v>
      </c>
      <c r="G38" s="380">
        <v>0</v>
      </c>
      <c r="H38" s="380">
        <v>0</v>
      </c>
      <c r="I38" s="380">
        <v>0</v>
      </c>
      <c r="J38" s="380">
        <v>0</v>
      </c>
      <c r="K38" s="384">
        <v>0</v>
      </c>
    </row>
    <row r="39" spans="2:12">
      <c r="B39" s="370" t="s">
        <v>353</v>
      </c>
      <c r="C39" s="153" t="s">
        <v>125</v>
      </c>
      <c r="D39" s="348">
        <v>0</v>
      </c>
      <c r="E39" s="380">
        <v>0</v>
      </c>
      <c r="F39" s="380">
        <v>0</v>
      </c>
      <c r="G39" s="380">
        <v>0</v>
      </c>
      <c r="H39" s="380">
        <v>0</v>
      </c>
      <c r="I39" s="380">
        <v>0</v>
      </c>
      <c r="J39" s="380">
        <v>0</v>
      </c>
      <c r="K39" s="384">
        <v>0</v>
      </c>
    </row>
    <row r="40" spans="2:12">
      <c r="B40" s="370" t="s">
        <v>354</v>
      </c>
      <c r="C40" s="153" t="s">
        <v>125</v>
      </c>
      <c r="D40" s="348">
        <v>0</v>
      </c>
      <c r="E40" s="380">
        <v>0</v>
      </c>
      <c r="F40" s="380">
        <v>0</v>
      </c>
      <c r="G40" s="380">
        <v>0</v>
      </c>
      <c r="H40" s="380">
        <v>0</v>
      </c>
      <c r="I40" s="380">
        <v>0</v>
      </c>
      <c r="J40" s="380">
        <v>0</v>
      </c>
      <c r="K40" s="384">
        <v>0</v>
      </c>
    </row>
    <row r="41" spans="2:12">
      <c r="B41" s="370" t="s">
        <v>355</v>
      </c>
      <c r="C41" s="153" t="s">
        <v>125</v>
      </c>
      <c r="D41" s="381">
        <v>0</v>
      </c>
      <c r="E41" s="382">
        <v>0</v>
      </c>
      <c r="F41" s="382">
        <v>0</v>
      </c>
      <c r="G41" s="382">
        <v>0</v>
      </c>
      <c r="H41" s="382">
        <v>0</v>
      </c>
      <c r="I41" s="382">
        <v>0</v>
      </c>
      <c r="J41" s="382">
        <v>0</v>
      </c>
      <c r="K41" s="385">
        <v>0</v>
      </c>
    </row>
    <row r="42" spans="2:12">
      <c r="B42" s="200" t="s">
        <v>227</v>
      </c>
      <c r="C42" s="153" t="s">
        <v>125</v>
      </c>
      <c r="D42" s="672">
        <f>SUM(D23,D26:D41)</f>
        <v>1005.7</v>
      </c>
      <c r="E42" s="972">
        <f t="shared" ref="E42:K42" si="3">SUM(E23,E26:E41)</f>
        <v>1047.0999999999999</v>
      </c>
      <c r="F42" s="972">
        <f t="shared" si="3"/>
        <v>1106.3</v>
      </c>
      <c r="G42" s="972">
        <f t="shared" si="3"/>
        <v>1149.0999999999999</v>
      </c>
      <c r="H42" s="972">
        <f t="shared" si="3"/>
        <v>1213.7</v>
      </c>
      <c r="I42" s="972">
        <f t="shared" si="3"/>
        <v>1271.6232522600001</v>
      </c>
      <c r="J42" s="972">
        <f t="shared" si="3"/>
        <v>1274.6067544799998</v>
      </c>
      <c r="K42" s="972">
        <f t="shared" si="3"/>
        <v>1208.9680000000001</v>
      </c>
    </row>
    <row r="43" spans="2:12">
      <c r="B43" s="371" t="s">
        <v>298</v>
      </c>
      <c r="C43" s="153" t="s">
        <v>125</v>
      </c>
      <c r="D43" s="673"/>
      <c r="E43" s="674"/>
      <c r="F43" s="674"/>
      <c r="G43" s="675"/>
      <c r="H43" s="675"/>
      <c r="I43" s="675"/>
      <c r="J43" s="675"/>
      <c r="K43" s="831">
        <v>321.93389832731782</v>
      </c>
    </row>
    <row r="44" spans="2:12">
      <c r="B44" s="347" t="s">
        <v>423</v>
      </c>
      <c r="C44" s="153" t="s">
        <v>125</v>
      </c>
      <c r="D44" s="96">
        <f>SUM(D42:D43)</f>
        <v>1005.7</v>
      </c>
      <c r="E44" s="97">
        <f t="shared" ref="E44:K44" si="4">SUM(E42:E43)</f>
        <v>1047.0999999999999</v>
      </c>
      <c r="F44" s="97">
        <f t="shared" si="4"/>
        <v>1106.3</v>
      </c>
      <c r="G44" s="97">
        <f t="shared" si="4"/>
        <v>1149.0999999999999</v>
      </c>
      <c r="H44" s="97">
        <f t="shared" si="4"/>
        <v>1213.7</v>
      </c>
      <c r="I44" s="97">
        <f t="shared" si="4"/>
        <v>1271.6232522600001</v>
      </c>
      <c r="J44" s="97">
        <f t="shared" si="4"/>
        <v>1274.6067544799998</v>
      </c>
      <c r="K44" s="98">
        <f t="shared" si="4"/>
        <v>1530.9018983273179</v>
      </c>
    </row>
    <row r="45" spans="2:12">
      <c r="D45" s="227" t="s">
        <v>636</v>
      </c>
      <c r="E45" s="228" t="s">
        <v>636</v>
      </c>
      <c r="F45" s="228" t="s">
        <v>636</v>
      </c>
      <c r="G45" s="228" t="s">
        <v>636</v>
      </c>
      <c r="H45" s="228" t="s">
        <v>636</v>
      </c>
      <c r="I45" s="228" t="s">
        <v>636</v>
      </c>
      <c r="J45" s="228" t="s">
        <v>636</v>
      </c>
      <c r="K45" s="229" t="s">
        <v>636</v>
      </c>
    </row>
    <row r="47" spans="2:12">
      <c r="B47" s="775" t="s">
        <v>424</v>
      </c>
      <c r="C47" s="153" t="s">
        <v>125</v>
      </c>
      <c r="D47" s="831">
        <v>1016.7</v>
      </c>
      <c r="E47" s="97">
        <f>D48</f>
        <v>1005.7</v>
      </c>
      <c r="F47" s="97">
        <f t="shared" ref="F47:K47" si="5">E48</f>
        <v>1047.0999999999999</v>
      </c>
      <c r="G47" s="97">
        <f t="shared" si="5"/>
        <v>1106.3</v>
      </c>
      <c r="H47" s="97">
        <f t="shared" si="5"/>
        <v>1149.0999999999999</v>
      </c>
      <c r="I47" s="97">
        <f t="shared" si="5"/>
        <v>1213.7</v>
      </c>
      <c r="J47" s="97">
        <f t="shared" si="5"/>
        <v>1271.6232522600001</v>
      </c>
      <c r="K47" s="98">
        <f t="shared" si="5"/>
        <v>1274.6067544799998</v>
      </c>
      <c r="L47" s="774"/>
    </row>
    <row r="48" spans="2:12">
      <c r="B48" s="775" t="s">
        <v>425</v>
      </c>
      <c r="C48" s="153" t="s">
        <v>125</v>
      </c>
      <c r="D48" s="574">
        <f>D44</f>
        <v>1005.7</v>
      </c>
      <c r="E48" s="575">
        <f>E44</f>
        <v>1047.0999999999999</v>
      </c>
      <c r="F48" s="575">
        <f t="shared" ref="F48:K48" si="6">F44</f>
        <v>1106.3</v>
      </c>
      <c r="G48" s="575">
        <f t="shared" si="6"/>
        <v>1149.0999999999999</v>
      </c>
      <c r="H48" s="575">
        <f t="shared" si="6"/>
        <v>1213.7</v>
      </c>
      <c r="I48" s="575">
        <f t="shared" si="6"/>
        <v>1271.6232522600001</v>
      </c>
      <c r="J48" s="575">
        <f t="shared" si="6"/>
        <v>1274.6067544799998</v>
      </c>
      <c r="K48" s="789">
        <f t="shared" si="6"/>
        <v>1530.9018983273179</v>
      </c>
      <c r="L48" s="774"/>
    </row>
    <row r="49" spans="2:13">
      <c r="D49" s="23"/>
      <c r="E49" s="23"/>
      <c r="F49" s="23"/>
      <c r="G49" s="23"/>
      <c r="H49" s="23"/>
      <c r="I49" s="23"/>
      <c r="J49" s="23"/>
      <c r="K49" s="23"/>
    </row>
    <row r="50" spans="2:13">
      <c r="B50" s="14" t="s">
        <v>121</v>
      </c>
    </row>
    <row r="51" spans="2:13">
      <c r="B51" t="s">
        <v>122</v>
      </c>
      <c r="C51" s="481" t="s">
        <v>7</v>
      </c>
      <c r="D51" s="475">
        <v>0</v>
      </c>
      <c r="E51" s="476">
        <v>0</v>
      </c>
      <c r="F51" s="476">
        <v>0</v>
      </c>
      <c r="G51" s="476">
        <v>0</v>
      </c>
      <c r="H51" s="476">
        <v>0</v>
      </c>
      <c r="I51" s="476">
        <v>0</v>
      </c>
      <c r="J51" s="476">
        <v>0</v>
      </c>
      <c r="K51" s="477">
        <v>0</v>
      </c>
    </row>
    <row r="52" spans="2:13">
      <c r="B52" t="s">
        <v>123</v>
      </c>
      <c r="C52" s="481" t="s">
        <v>7</v>
      </c>
      <c r="D52" s="484">
        <f>1-D51</f>
        <v>1</v>
      </c>
      <c r="E52" s="485">
        <f t="shared" ref="E52:K52" si="7">1-E51</f>
        <v>1</v>
      </c>
      <c r="F52" s="485">
        <f t="shared" si="7"/>
        <v>1</v>
      </c>
      <c r="G52" s="485">
        <f t="shared" si="7"/>
        <v>1</v>
      </c>
      <c r="H52" s="485">
        <f t="shared" si="7"/>
        <v>1</v>
      </c>
      <c r="I52" s="485">
        <f t="shared" si="7"/>
        <v>1</v>
      </c>
      <c r="J52" s="485">
        <f t="shared" si="7"/>
        <v>1</v>
      </c>
      <c r="K52" s="486">
        <f t="shared" si="7"/>
        <v>1</v>
      </c>
    </row>
    <row r="53" spans="2:13">
      <c r="C53" s="774"/>
      <c r="D53" s="774"/>
      <c r="E53" s="774"/>
      <c r="F53" s="774"/>
      <c r="G53" s="774"/>
      <c r="H53" s="774"/>
      <c r="I53" s="774"/>
      <c r="J53" s="774"/>
      <c r="K53" s="774"/>
      <c r="L53" s="774"/>
    </row>
    <row r="54" spans="2:13">
      <c r="B54" s="201" t="s">
        <v>445</v>
      </c>
      <c r="C54" s="267" t="s">
        <v>125</v>
      </c>
      <c r="D54" s="676">
        <f>AVERAGE(D47:D48)*D52</f>
        <v>1011.2</v>
      </c>
      <c r="E54" s="677">
        <f t="shared" ref="E54:J54" si="8">AVERAGE(E47:E48)*E52</f>
        <v>1026.4000000000001</v>
      </c>
      <c r="F54" s="677">
        <f t="shared" si="8"/>
        <v>1076.6999999999998</v>
      </c>
      <c r="G54" s="677">
        <f t="shared" si="8"/>
        <v>1127.6999999999998</v>
      </c>
      <c r="H54" s="677">
        <f t="shared" si="8"/>
        <v>1181.4000000000001</v>
      </c>
      <c r="I54" s="677">
        <f t="shared" si="8"/>
        <v>1242.6616261300001</v>
      </c>
      <c r="J54" s="677">
        <f t="shared" si="8"/>
        <v>1273.1150033700001</v>
      </c>
      <c r="K54" s="678">
        <f>AVERAGE(K47:K48)*K52</f>
        <v>1402.754326403659</v>
      </c>
    </row>
    <row r="55" spans="2:13">
      <c r="B55" s="201" t="s">
        <v>264</v>
      </c>
      <c r="C55" s="153" t="s">
        <v>125</v>
      </c>
      <c r="D55" s="666">
        <f>D56-D54</f>
        <v>606.19239309712839</v>
      </c>
      <c r="E55" s="667">
        <f t="shared" ref="E55:K55" si="9">E56-E54</f>
        <v>642.02235355997482</v>
      </c>
      <c r="F55" s="667">
        <f t="shared" si="9"/>
        <v>666.09235631812567</v>
      </c>
      <c r="G55" s="667">
        <f t="shared" si="9"/>
        <v>696.51926030483241</v>
      </c>
      <c r="H55" s="667">
        <f t="shared" si="9"/>
        <v>717.87020921778867</v>
      </c>
      <c r="I55" s="667">
        <f t="shared" si="9"/>
        <v>719.96987497040845</v>
      </c>
      <c r="J55" s="667">
        <f t="shared" si="9"/>
        <v>822.65905171684471</v>
      </c>
      <c r="K55" s="668">
        <f t="shared" si="9"/>
        <v>893.85627745277225</v>
      </c>
    </row>
    <row r="56" spans="2:13">
      <c r="B56" s="201" t="s">
        <v>491</v>
      </c>
      <c r="C56" s="153" t="s">
        <v>125</v>
      </c>
      <c r="D56" s="823">
        <f>IF(D6='RFPR cover'!$C$13,AVERAGE(('R9 - RAV'!D16*'R9 - RAV'!D36),'R9 - RAV'!D38),AVERAGE('R9 - RAV'!C38:D38))</f>
        <v>1617.3923930971284</v>
      </c>
      <c r="E56" s="973">
        <f>IF(E6='RFPR cover'!$C$13,AVERAGE(('R9 - RAV'!E16*'R9 - RAV'!E36),'R9 - RAV'!E38),AVERAGE('R9 - RAV'!D38:E38))</f>
        <v>1668.4223535599749</v>
      </c>
      <c r="F56" s="973">
        <f>IF(F6='RFPR cover'!$C$13,AVERAGE(('R9 - RAV'!F16*'R9 - RAV'!F36),'R9 - RAV'!F38),AVERAGE('R9 - RAV'!E38:F38))</f>
        <v>1742.7923563181255</v>
      </c>
      <c r="G56" s="973">
        <f>IF(G6='RFPR cover'!$C$13,AVERAGE(('R9 - RAV'!G16*'R9 - RAV'!G36),'R9 - RAV'!G38),AVERAGE('R9 - RAV'!F38:G38))</f>
        <v>1824.2192603048322</v>
      </c>
      <c r="H56" s="973">
        <f>IF(H6='RFPR cover'!$C$13,AVERAGE(('R9 - RAV'!H16*'R9 - RAV'!H36),'R9 - RAV'!H38),AVERAGE('R9 - RAV'!G38:H38))</f>
        <v>1899.2702092177888</v>
      </c>
      <c r="I56" s="973">
        <f>IF(I6='RFPR cover'!$C$13,AVERAGE(('R9 - RAV'!I16*'R9 - RAV'!I36),'R9 - RAV'!I38),AVERAGE('R9 - RAV'!H38:I38))</f>
        <v>1962.6315011004085</v>
      </c>
      <c r="J56" s="973">
        <f>IF(J6='RFPR cover'!$C$13,AVERAGE(('R9 - RAV'!J16*'R9 - RAV'!J36),'R9 - RAV'!J38),AVERAGE('R9 - RAV'!I38:J38))</f>
        <v>2095.7740550868448</v>
      </c>
      <c r="K56" s="974">
        <f>IF(K6='RFPR cover'!$C$13,AVERAGE(('R9 - RAV'!K16*'R9 - RAV'!K36),'R9 - RAV'!K38),AVERAGE('R9 - RAV'!J38:K38))</f>
        <v>2296.6106038564312</v>
      </c>
    </row>
    <row r="57" spans="2:13">
      <c r="B57" s="201" t="s">
        <v>228</v>
      </c>
      <c r="C57" s="153" t="s">
        <v>7</v>
      </c>
      <c r="D57" s="232">
        <f>D54/D56</f>
        <v>0.62520388021837014</v>
      </c>
      <c r="E57" s="233">
        <f t="shared" ref="E57:K57" si="10">E54/E56</f>
        <v>0.61519194933461074</v>
      </c>
      <c r="F57" s="233">
        <f t="shared" si="10"/>
        <v>0.61780165382103691</v>
      </c>
      <c r="G57" s="233">
        <f t="shared" si="10"/>
        <v>0.61818226818390132</v>
      </c>
      <c r="H57" s="233">
        <f t="shared" si="10"/>
        <v>0.62202839504683105</v>
      </c>
      <c r="I57" s="233">
        <f t="shared" si="10"/>
        <v>0.6331609502004143</v>
      </c>
      <c r="J57" s="233">
        <f t="shared" si="10"/>
        <v>0.60746768015373898</v>
      </c>
      <c r="K57" s="234">
        <f t="shared" si="10"/>
        <v>0.61079328121544707</v>
      </c>
    </row>
    <row r="58" spans="2:13">
      <c r="B58" s="201" t="s">
        <v>112</v>
      </c>
      <c r="C58" s="153" t="s">
        <v>7</v>
      </c>
      <c r="D58" s="824">
        <f>'RFPR cover'!$C$12</f>
        <v>0.65</v>
      </c>
      <c r="E58" s="825">
        <f>'RFPR cover'!$C$12</f>
        <v>0.65</v>
      </c>
      <c r="F58" s="825">
        <f>'RFPR cover'!$C$12</f>
        <v>0.65</v>
      </c>
      <c r="G58" s="825">
        <f>'RFPR cover'!$C$12</f>
        <v>0.65</v>
      </c>
      <c r="H58" s="825">
        <f>'RFPR cover'!$C$12</f>
        <v>0.65</v>
      </c>
      <c r="I58" s="825">
        <f>'RFPR cover'!$C$12</f>
        <v>0.65</v>
      </c>
      <c r="J58" s="825">
        <f>'RFPR cover'!$C$12</f>
        <v>0.65</v>
      </c>
      <c r="K58" s="826">
        <f>'RFPR cover'!$C$12</f>
        <v>0.65</v>
      </c>
    </row>
    <row r="59" spans="2:13">
      <c r="B59" s="201" t="s">
        <v>229</v>
      </c>
      <c r="C59" s="153" t="s">
        <v>7</v>
      </c>
      <c r="D59" s="237">
        <f t="shared" ref="D59:K59" si="11">IF(ISBLANK(D23),"n/a",D57-D58)</f>
        <v>-2.4796119781629877E-2</v>
      </c>
      <c r="E59" s="238">
        <f t="shared" si="11"/>
        <v>-3.4808050665389278E-2</v>
      </c>
      <c r="F59" s="238">
        <f t="shared" si="11"/>
        <v>-3.2198346178963111E-2</v>
      </c>
      <c r="G59" s="238">
        <f t="shared" si="11"/>
        <v>-3.1817731816098704E-2</v>
      </c>
      <c r="H59" s="238">
        <f t="shared" si="11"/>
        <v>-2.7971604953168971E-2</v>
      </c>
      <c r="I59" s="238">
        <f t="shared" si="11"/>
        <v>-1.6839049799585726E-2</v>
      </c>
      <c r="J59" s="238">
        <f t="shared" si="11"/>
        <v>-4.2532319846261046E-2</v>
      </c>
      <c r="K59" s="239">
        <f t="shared" si="11"/>
        <v>-3.9206718784552952E-2</v>
      </c>
    </row>
    <row r="61" spans="2:13">
      <c r="B61" s="201" t="s">
        <v>498</v>
      </c>
      <c r="C61" s="156" t="str">
        <f>'RFPR cover'!$C$14</f>
        <v>£m 12/13</v>
      </c>
      <c r="D61" s="827">
        <f t="shared" ref="D61:K61" si="12">D63*D57</f>
        <v>936.47859333522752</v>
      </c>
      <c r="E61" s="670">
        <f t="shared" si="12"/>
        <v>928.61748060970922</v>
      </c>
      <c r="F61" s="670">
        <f t="shared" si="12"/>
        <v>943.0019064729762</v>
      </c>
      <c r="G61" s="670">
        <f t="shared" si="12"/>
        <v>958.98160723962735</v>
      </c>
      <c r="H61" s="670">
        <f t="shared" si="12"/>
        <v>981.64828335365553</v>
      </c>
      <c r="I61" s="670">
        <f t="shared" si="12"/>
        <v>1011.5310035232925</v>
      </c>
      <c r="J61" s="670">
        <f t="shared" si="12"/>
        <v>976.75733726105977</v>
      </c>
      <c r="K61" s="671">
        <f t="shared" si="12"/>
        <v>986.46918727605316</v>
      </c>
      <c r="M61" s="323"/>
    </row>
    <row r="62" spans="2:13">
      <c r="B62" s="201" t="s">
        <v>496</v>
      </c>
      <c r="C62" s="156" t="str">
        <f>'RFPR cover'!$C$14</f>
        <v>£m 12/13</v>
      </c>
      <c r="D62" s="639">
        <f>D63*(1-D57)</f>
        <v>561.39853597519186</v>
      </c>
      <c r="E62" s="640">
        <f t="shared" ref="E62:K62" si="13">E63*(1-E57)</f>
        <v>580.85851564495306</v>
      </c>
      <c r="F62" s="640">
        <f t="shared" si="13"/>
        <v>583.38103640296242</v>
      </c>
      <c r="G62" s="640">
        <f t="shared" si="13"/>
        <v>592.3110399223948</v>
      </c>
      <c r="H62" s="640">
        <f t="shared" si="13"/>
        <v>596.49234683373254</v>
      </c>
      <c r="I62" s="640">
        <f t="shared" si="13"/>
        <v>586.05805057600526</v>
      </c>
      <c r="J62" s="640">
        <f t="shared" si="13"/>
        <v>631.15921397646503</v>
      </c>
      <c r="K62" s="641">
        <f t="shared" si="13"/>
        <v>628.59308929815938</v>
      </c>
      <c r="M62" s="323"/>
    </row>
    <row r="63" spans="2:13">
      <c r="B63" s="201" t="s">
        <v>497</v>
      </c>
      <c r="C63" s="156" t="str">
        <f>'RFPR cover'!$C$14</f>
        <v>£m 12/13</v>
      </c>
      <c r="D63" s="822">
        <f>'R9 - RAV'!D47</f>
        <v>1497.8771293104194</v>
      </c>
      <c r="E63" s="975">
        <f>'R9 - RAV'!E47</f>
        <v>1509.4759962546623</v>
      </c>
      <c r="F63" s="975">
        <f>'R9 - RAV'!F47</f>
        <v>1526.3829428759386</v>
      </c>
      <c r="G63" s="975">
        <f>'R9 - RAV'!G47</f>
        <v>1551.2926471620221</v>
      </c>
      <c r="H63" s="975">
        <f>'R9 - RAV'!H47</f>
        <v>1578.1406301873881</v>
      </c>
      <c r="I63" s="975">
        <f>'R9 - RAV'!I47</f>
        <v>1597.5890540992978</v>
      </c>
      <c r="J63" s="975">
        <f>'R9 - RAV'!J47</f>
        <v>1607.9165512375248</v>
      </c>
      <c r="K63" s="976">
        <f>'R9 - RAV'!K47</f>
        <v>1615.0622765742125</v>
      </c>
    </row>
    <row r="64" spans="2:13">
      <c r="B64" s="201" t="s">
        <v>228</v>
      </c>
      <c r="C64" s="153" t="s">
        <v>7</v>
      </c>
      <c r="D64" s="232">
        <f>D61/D63</f>
        <v>0.62520388021837014</v>
      </c>
      <c r="E64" s="233">
        <f t="shared" ref="E64:K64" si="14">E61/E63</f>
        <v>0.61519194933461074</v>
      </c>
      <c r="F64" s="233">
        <f t="shared" si="14"/>
        <v>0.61780165382103691</v>
      </c>
      <c r="G64" s="233">
        <f t="shared" si="14"/>
        <v>0.61818226818390132</v>
      </c>
      <c r="H64" s="233">
        <f t="shared" si="14"/>
        <v>0.62202839504683105</v>
      </c>
      <c r="I64" s="233">
        <f t="shared" si="14"/>
        <v>0.6331609502004143</v>
      </c>
      <c r="J64" s="233">
        <f t="shared" si="14"/>
        <v>0.60746768015373898</v>
      </c>
      <c r="K64" s="234">
        <f t="shared" si="14"/>
        <v>0.61079328121544707</v>
      </c>
    </row>
    <row r="65" spans="2:11">
      <c r="B65" s="201" t="s">
        <v>112</v>
      </c>
      <c r="C65" s="153" t="s">
        <v>7</v>
      </c>
      <c r="D65" s="824">
        <f>'RFPR cover'!$C$12</f>
        <v>0.65</v>
      </c>
      <c r="E65" s="825">
        <f>'RFPR cover'!$C$12</f>
        <v>0.65</v>
      </c>
      <c r="F65" s="825">
        <f>'RFPR cover'!$C$12</f>
        <v>0.65</v>
      </c>
      <c r="G65" s="825">
        <f>'RFPR cover'!$C$12</f>
        <v>0.65</v>
      </c>
      <c r="H65" s="825">
        <f>'RFPR cover'!$C$12</f>
        <v>0.65</v>
      </c>
      <c r="I65" s="825">
        <f>'RFPR cover'!$C$12</f>
        <v>0.65</v>
      </c>
      <c r="J65" s="825">
        <f>'RFPR cover'!$C$12</f>
        <v>0.65</v>
      </c>
      <c r="K65" s="826">
        <f>'RFPR cover'!$C$12</f>
        <v>0.65</v>
      </c>
    </row>
    <row r="66" spans="2:11">
      <c r="B66" s="201" t="s">
        <v>229</v>
      </c>
      <c r="C66" s="153" t="s">
        <v>7</v>
      </c>
      <c r="D66" s="237">
        <f t="shared" ref="D66:K66" si="15">IF(ISBLANK(D23),"n/a",D64-D65)</f>
        <v>-2.4796119781629877E-2</v>
      </c>
      <c r="E66" s="238">
        <f t="shared" si="15"/>
        <v>-3.4808050665389278E-2</v>
      </c>
      <c r="F66" s="238">
        <f t="shared" si="15"/>
        <v>-3.2198346178963111E-2</v>
      </c>
      <c r="G66" s="238">
        <f t="shared" si="15"/>
        <v>-3.1817731816098704E-2</v>
      </c>
      <c r="H66" s="238">
        <f t="shared" si="15"/>
        <v>-2.7971604953168971E-2</v>
      </c>
      <c r="I66" s="238">
        <f t="shared" si="15"/>
        <v>-1.6839049799585726E-2</v>
      </c>
      <c r="J66" s="238">
        <f t="shared" si="15"/>
        <v>-4.2532319846261046E-2</v>
      </c>
      <c r="K66" s="239">
        <f t="shared" si="15"/>
        <v>-3.9206718784552952E-2</v>
      </c>
    </row>
  </sheetData>
  <conditionalFormatting sqref="D6:K6">
    <cfRule type="expression" dxfId="56" priority="18">
      <formula>AND(D$5="Actuals",E$5="Forecast")</formula>
    </cfRule>
  </conditionalFormatting>
  <conditionalFormatting sqref="D5:K5">
    <cfRule type="expression" dxfId="55"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D43:J43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50" t="s">
        <v>117</v>
      </c>
      <c r="B1" s="879"/>
      <c r="C1" s="398"/>
      <c r="D1" s="121"/>
      <c r="E1" s="121"/>
      <c r="F1" s="121"/>
      <c r="G1" s="121"/>
      <c r="H1" s="121"/>
      <c r="I1" s="127"/>
      <c r="J1" s="127"/>
      <c r="K1" s="128"/>
      <c r="L1" s="364"/>
      <c r="N1" s="213"/>
    </row>
    <row r="2" spans="1:14" s="31" customFormat="1" ht="20.25">
      <c r="A2" s="853" t="str">
        <f>'RFPR cover'!C5</f>
        <v>SPD</v>
      </c>
      <c r="B2" s="845"/>
      <c r="C2" s="222"/>
      <c r="D2" s="29"/>
      <c r="E2" s="29"/>
      <c r="F2" s="29"/>
      <c r="G2" s="29"/>
      <c r="H2" s="29"/>
      <c r="I2" s="27"/>
      <c r="J2" s="27"/>
      <c r="K2" s="27"/>
      <c r="L2" s="124"/>
      <c r="N2" s="213"/>
    </row>
    <row r="3" spans="1:14" s="31" customFormat="1" ht="20.25">
      <c r="A3" s="856">
        <f>'RFPR cover'!C7</f>
        <v>2022</v>
      </c>
      <c r="B3" s="863"/>
      <c r="C3" s="399"/>
      <c r="D3" s="261"/>
      <c r="E3" s="261"/>
      <c r="F3" s="261"/>
      <c r="G3" s="261"/>
      <c r="H3" s="261"/>
      <c r="I3" s="256"/>
      <c r="J3" s="256"/>
      <c r="K3" s="256"/>
      <c r="L3" s="262"/>
      <c r="N3" s="213"/>
    </row>
    <row r="4" spans="1:14" s="2" customFormat="1" ht="12.75" customHeight="1">
      <c r="C4" s="1"/>
      <c r="N4" s="130"/>
    </row>
    <row r="5" spans="1:14" s="2" customFormat="1">
      <c r="B5" s="38"/>
      <c r="C5" s="22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Forecast</v>
      </c>
      <c r="K5" s="391"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0"/>
      <c r="E7" s="430"/>
      <c r="F7" s="430"/>
      <c r="G7" s="430"/>
      <c r="H7" s="430"/>
      <c r="I7" s="430"/>
      <c r="J7" s="430"/>
      <c r="K7" s="430"/>
      <c r="L7" s="35"/>
      <c r="M7" s="35"/>
      <c r="N7" s="226"/>
    </row>
    <row r="8" spans="1:14" s="2" customFormat="1">
      <c r="B8" s="12" t="s">
        <v>315</v>
      </c>
      <c r="N8" s="130"/>
    </row>
    <row r="9" spans="1:14" s="2" customFormat="1">
      <c r="B9" s="369" t="s">
        <v>314</v>
      </c>
      <c r="C9" s="369"/>
      <c r="D9" s="369"/>
      <c r="E9" s="369"/>
      <c r="F9" s="369"/>
      <c r="G9" s="369"/>
      <c r="H9" s="369"/>
      <c r="I9" s="369"/>
      <c r="J9" s="369"/>
      <c r="K9" s="369"/>
      <c r="L9" s="369"/>
      <c r="N9" s="130"/>
    </row>
    <row r="10" spans="1:14" s="35" customFormat="1">
      <c r="B10" s="429"/>
      <c r="C10" s="429"/>
      <c r="D10" s="429"/>
      <c r="E10" s="429"/>
      <c r="F10" s="429"/>
      <c r="G10" s="429"/>
      <c r="H10" s="429"/>
      <c r="I10" s="429"/>
      <c r="J10" s="429"/>
      <c r="K10" s="429"/>
      <c r="L10" s="429"/>
      <c r="N10" s="226"/>
    </row>
    <row r="11" spans="1:14" s="2" customFormat="1">
      <c r="B11" s="201" t="s">
        <v>313</v>
      </c>
      <c r="C11" s="211" t="str">
        <f>'RFPR cover'!$C$14</f>
        <v>£m 12/13</v>
      </c>
      <c r="D11" s="679">
        <v>1538.5904167913777</v>
      </c>
      <c r="E11" s="977">
        <v>1557.714561623384</v>
      </c>
      <c r="F11" s="977">
        <v>1577.8510759607968</v>
      </c>
      <c r="G11" s="977">
        <v>1599.7667035182685</v>
      </c>
      <c r="H11" s="977">
        <v>1615.0772157639637</v>
      </c>
      <c r="I11" s="977">
        <v>1624.5913718345089</v>
      </c>
      <c r="J11" s="977">
        <v>1617.0910879166497</v>
      </c>
      <c r="K11" s="978">
        <v>1607.9937420751528</v>
      </c>
      <c r="N11" s="130"/>
    </row>
    <row r="12" spans="1:14" s="2" customFormat="1">
      <c r="N12" s="130"/>
    </row>
    <row r="13" spans="1:14" s="2" customFormat="1">
      <c r="B13" s="12" t="s">
        <v>316</v>
      </c>
      <c r="C13" s="1"/>
      <c r="D13" s="1"/>
      <c r="E13" s="1"/>
      <c r="F13" s="1"/>
      <c r="G13" s="1"/>
      <c r="H13" s="1"/>
      <c r="I13" s="1"/>
      <c r="J13" s="1"/>
      <c r="K13" s="1"/>
      <c r="N13" s="130"/>
    </row>
    <row r="14" spans="1:14" s="2" customFormat="1">
      <c r="B14" s="369" t="s">
        <v>338</v>
      </c>
      <c r="C14" s="322"/>
      <c r="D14" s="322"/>
      <c r="E14" s="322"/>
      <c r="F14" s="322"/>
      <c r="G14" s="322"/>
      <c r="H14" s="322"/>
      <c r="I14" s="322"/>
      <c r="J14" s="322"/>
      <c r="K14" s="322"/>
      <c r="L14" s="294"/>
      <c r="N14" s="130"/>
    </row>
    <row r="15" spans="1:14" s="35" customFormat="1">
      <c r="B15" s="429"/>
      <c r="C15" s="321"/>
      <c r="D15" s="321"/>
      <c r="E15" s="321"/>
      <c r="F15" s="321"/>
      <c r="G15" s="321"/>
      <c r="H15" s="321"/>
      <c r="I15" s="321"/>
      <c r="J15" s="321"/>
      <c r="K15" s="321"/>
      <c r="N15" s="226"/>
    </row>
    <row r="16" spans="1:14" s="2" customFormat="1">
      <c r="B16" s="393" t="s">
        <v>317</v>
      </c>
      <c r="C16" s="211" t="str">
        <f>'RFPR cover'!$C$14</f>
        <v>£m 12/13</v>
      </c>
      <c r="D16" s="679">
        <v>1522.4065505308213</v>
      </c>
      <c r="E16" s="680">
        <f>D29</f>
        <v>1528.7087482214997</v>
      </c>
      <c r="F16" s="680">
        <f t="shared" ref="F16:K16" si="1">E29</f>
        <v>1544.9798786505164</v>
      </c>
      <c r="G16" s="680">
        <f t="shared" si="1"/>
        <v>1561.892907966193</v>
      </c>
      <c r="H16" s="680">
        <f t="shared" si="1"/>
        <v>1593.9772325400379</v>
      </c>
      <c r="I16" s="680">
        <f t="shared" si="1"/>
        <v>1614.8130662102635</v>
      </c>
      <c r="J16" s="680">
        <f t="shared" si="1"/>
        <v>1631.8375314058922</v>
      </c>
      <c r="K16" s="581">
        <f t="shared" si="1"/>
        <v>1633.9389514249683</v>
      </c>
      <c r="N16" s="130"/>
    </row>
    <row r="17" spans="2:14" s="2" customFormat="1">
      <c r="B17" s="393" t="s">
        <v>318</v>
      </c>
      <c r="C17" s="211" t="str">
        <f>'RFPR cover'!$C$14</f>
        <v>£m 12/13</v>
      </c>
      <c r="D17" s="679">
        <v>0</v>
      </c>
      <c r="E17" s="977">
        <v>0</v>
      </c>
      <c r="F17" s="977">
        <v>0</v>
      </c>
      <c r="G17" s="977">
        <v>0</v>
      </c>
      <c r="H17" s="977">
        <v>0</v>
      </c>
      <c r="I17" s="977">
        <v>0</v>
      </c>
      <c r="J17" s="977">
        <v>0</v>
      </c>
      <c r="K17" s="978">
        <v>0</v>
      </c>
      <c r="N17" s="130"/>
    </row>
    <row r="18" spans="2:14" s="2" customFormat="1">
      <c r="B18" s="12" t="s">
        <v>319</v>
      </c>
      <c r="C18" s="211" t="str">
        <f>'RFPR cover'!$C$14</f>
        <v>£m 12/13</v>
      </c>
      <c r="D18" s="681">
        <f>SUM(D16:D17)</f>
        <v>1522.4065505308213</v>
      </c>
      <c r="E18" s="682">
        <f t="shared" ref="E18:K18" si="2">SUM(E16:E17)</f>
        <v>1528.7087482214997</v>
      </c>
      <c r="F18" s="682">
        <f t="shared" si="2"/>
        <v>1544.9798786505164</v>
      </c>
      <c r="G18" s="682">
        <f t="shared" si="2"/>
        <v>1561.892907966193</v>
      </c>
      <c r="H18" s="682">
        <f t="shared" si="2"/>
        <v>1593.9772325400379</v>
      </c>
      <c r="I18" s="682">
        <f t="shared" si="2"/>
        <v>1614.8130662102635</v>
      </c>
      <c r="J18" s="682">
        <f t="shared" si="2"/>
        <v>1631.8375314058922</v>
      </c>
      <c r="K18" s="683">
        <f t="shared" si="2"/>
        <v>1633.9389514249683</v>
      </c>
      <c r="N18" s="130"/>
    </row>
    <row r="19" spans="2:14" s="2" customFormat="1">
      <c r="B19" s="395" t="s">
        <v>320</v>
      </c>
      <c r="C19" s="211" t="str">
        <f>'RFPR cover'!$C$14</f>
        <v>£m 12/13</v>
      </c>
      <c r="D19" s="578">
        <v>155.47644391004582</v>
      </c>
      <c r="E19" s="579">
        <v>160.27143604571083</v>
      </c>
      <c r="F19" s="579">
        <v>163.61468448169003</v>
      </c>
      <c r="G19" s="579">
        <v>166.78837935150085</v>
      </c>
      <c r="H19" s="579">
        <v>160.69090523259601</v>
      </c>
      <c r="I19" s="579">
        <v>155.10664440240279</v>
      </c>
      <c r="J19" s="579">
        <v>150.15527216529631</v>
      </c>
      <c r="K19" s="937">
        <v>155.57615912136373</v>
      </c>
      <c r="N19" s="130"/>
    </row>
    <row r="20" spans="2:14" s="2" customFormat="1">
      <c r="B20" s="395" t="s">
        <v>327</v>
      </c>
      <c r="C20" s="211" t="str">
        <f>'RFPR cover'!$C$14</f>
        <v>£m 12/13</v>
      </c>
      <c r="D20" s="938">
        <v>-9.8816685698778315</v>
      </c>
      <c r="E20" s="939">
        <v>-3.2803298006058412</v>
      </c>
      <c r="F20" s="939">
        <v>-3.7757653641372428</v>
      </c>
      <c r="G20" s="939">
        <v>9.4878799807248413</v>
      </c>
      <c r="H20" s="939">
        <v>5.1364391575195896</v>
      </c>
      <c r="I20" s="939">
        <v>7.2766221398194375</v>
      </c>
      <c r="J20" s="939">
        <v>-3.0390598348657534</v>
      </c>
      <c r="K20" s="940">
        <v>-1.9261646840698177</v>
      </c>
      <c r="N20" s="130"/>
    </row>
    <row r="21" spans="2:14" s="2" customFormat="1">
      <c r="B21" s="394" t="s">
        <v>323</v>
      </c>
      <c r="C21" s="211" t="str">
        <f>'RFPR cover'!$C$14</f>
        <v>£m 12/13</v>
      </c>
      <c r="D21" s="681">
        <f t="shared" ref="D21:K21" si="3">SUM(D19:D20)</f>
        <v>145.59477534016798</v>
      </c>
      <c r="E21" s="682">
        <f t="shared" si="3"/>
        <v>156.99110624510499</v>
      </c>
      <c r="F21" s="682">
        <f t="shared" si="3"/>
        <v>159.83891911755279</v>
      </c>
      <c r="G21" s="682">
        <f t="shared" si="3"/>
        <v>176.27625933222569</v>
      </c>
      <c r="H21" s="682">
        <f t="shared" si="3"/>
        <v>165.8273443901156</v>
      </c>
      <c r="I21" s="682">
        <f t="shared" si="3"/>
        <v>162.38326654222223</v>
      </c>
      <c r="J21" s="682">
        <f t="shared" si="3"/>
        <v>147.11621233043056</v>
      </c>
      <c r="K21" s="683">
        <f t="shared" si="3"/>
        <v>153.64999443729391</v>
      </c>
      <c r="N21" s="130"/>
    </row>
    <row r="22" spans="2:14" s="2" customFormat="1">
      <c r="B22" s="395" t="s">
        <v>321</v>
      </c>
      <c r="C22" s="211" t="str">
        <f>'RFPR cover'!$C$14</f>
        <v>£m 12/13</v>
      </c>
      <c r="D22" s="578">
        <v>-139.29257764948954</v>
      </c>
      <c r="E22" s="579">
        <v>-141.14729121370445</v>
      </c>
      <c r="F22" s="579">
        <v>-143.47817014427736</v>
      </c>
      <c r="G22" s="579">
        <v>-144.87275179402923</v>
      </c>
      <c r="H22" s="579">
        <v>-145.38039298690074</v>
      </c>
      <c r="I22" s="579">
        <v>-145.60350286532321</v>
      </c>
      <c r="J22" s="579">
        <v>-145.07171003292717</v>
      </c>
      <c r="K22" s="937">
        <v>-142.76138536293871</v>
      </c>
      <c r="N22" s="130"/>
    </row>
    <row r="23" spans="2:14" s="2" customFormat="1">
      <c r="B23" s="395" t="s">
        <v>322</v>
      </c>
      <c r="C23" s="211" t="str">
        <f>'RFPR cover'!$C$14</f>
        <v>£m 12/13</v>
      </c>
      <c r="D23" s="938">
        <v>0</v>
      </c>
      <c r="E23" s="939">
        <v>0.42731539761633863</v>
      </c>
      <c r="F23" s="939">
        <v>0.55228034240132307</v>
      </c>
      <c r="G23" s="939">
        <v>0.68081703564854834</v>
      </c>
      <c r="H23" s="939">
        <v>0.38888226701086093</v>
      </c>
      <c r="I23" s="939">
        <v>0.2447015187296093</v>
      </c>
      <c r="J23" s="939">
        <v>5.6917721572978641E-2</v>
      </c>
      <c r="K23" s="940">
        <v>0.12949228479365335</v>
      </c>
      <c r="N23" s="130"/>
    </row>
    <row r="24" spans="2:14" s="2" customFormat="1">
      <c r="B24" s="394" t="s">
        <v>324</v>
      </c>
      <c r="C24" s="211" t="str">
        <f>'RFPR cover'!$C$14</f>
        <v>£m 12/13</v>
      </c>
      <c r="D24" s="681">
        <f t="shared" ref="D24:K24" si="4">SUM(D22:D23)</f>
        <v>-139.29257764948954</v>
      </c>
      <c r="E24" s="682">
        <f t="shared" si="4"/>
        <v>-140.71997581608812</v>
      </c>
      <c r="F24" s="682">
        <f t="shared" si="4"/>
        <v>-142.92588980187602</v>
      </c>
      <c r="G24" s="682">
        <f t="shared" si="4"/>
        <v>-144.19193475838068</v>
      </c>
      <c r="H24" s="682">
        <f t="shared" si="4"/>
        <v>-144.99151071988987</v>
      </c>
      <c r="I24" s="682">
        <f t="shared" si="4"/>
        <v>-145.35880134659359</v>
      </c>
      <c r="J24" s="682">
        <f t="shared" si="4"/>
        <v>-145.0147923113542</v>
      </c>
      <c r="K24" s="683">
        <f t="shared" si="4"/>
        <v>-142.63189307814505</v>
      </c>
      <c r="N24" s="130"/>
    </row>
    <row r="25" spans="2:14" s="2" customFormat="1">
      <c r="B25" s="396" t="s">
        <v>585</v>
      </c>
      <c r="C25" s="211" t="str">
        <f>'RFPR cover'!$C$14</f>
        <v>£m 12/13</v>
      </c>
      <c r="D25" s="578">
        <v>0</v>
      </c>
      <c r="E25" s="579">
        <v>0</v>
      </c>
      <c r="F25" s="579">
        <v>0</v>
      </c>
      <c r="G25" s="579">
        <v>0</v>
      </c>
      <c r="H25" s="579">
        <v>0</v>
      </c>
      <c r="I25" s="579">
        <v>0</v>
      </c>
      <c r="J25" s="579">
        <v>0</v>
      </c>
      <c r="K25" s="937">
        <v>0</v>
      </c>
      <c r="N25" s="130"/>
    </row>
    <row r="26" spans="2:14" s="2" customFormat="1">
      <c r="B26" s="396" t="s">
        <v>585</v>
      </c>
      <c r="C26" s="211" t="str">
        <f>'RFPR cover'!$C$14</f>
        <v>£m 12/13</v>
      </c>
      <c r="D26" s="582">
        <v>0</v>
      </c>
      <c r="E26" s="583">
        <v>0</v>
      </c>
      <c r="F26" s="583">
        <v>0</v>
      </c>
      <c r="G26" s="583">
        <v>0</v>
      </c>
      <c r="H26" s="583">
        <v>0</v>
      </c>
      <c r="I26" s="583">
        <v>0</v>
      </c>
      <c r="J26" s="583">
        <v>0</v>
      </c>
      <c r="K26" s="652">
        <v>0</v>
      </c>
      <c r="N26" s="130"/>
    </row>
    <row r="27" spans="2:14" s="2" customFormat="1">
      <c r="B27" s="396" t="s">
        <v>585</v>
      </c>
      <c r="C27" s="211" t="str">
        <f>'RFPR cover'!$C$14</f>
        <v>£m 12/13</v>
      </c>
      <c r="D27" s="938">
        <v>0</v>
      </c>
      <c r="E27" s="939">
        <v>0</v>
      </c>
      <c r="F27" s="939">
        <v>0</v>
      </c>
      <c r="G27" s="939">
        <v>0</v>
      </c>
      <c r="H27" s="939">
        <v>0</v>
      </c>
      <c r="I27" s="939">
        <v>0</v>
      </c>
      <c r="J27" s="939">
        <v>0</v>
      </c>
      <c r="K27" s="940">
        <v>0</v>
      </c>
      <c r="N27" s="130"/>
    </row>
    <row r="28" spans="2:14" s="2" customFormat="1">
      <c r="B28" s="394" t="s">
        <v>325</v>
      </c>
      <c r="C28" s="211" t="str">
        <f>'RFPR cover'!$C$14</f>
        <v>£m 12/13</v>
      </c>
      <c r="D28" s="684">
        <f>SUM(D25:D27)</f>
        <v>0</v>
      </c>
      <c r="E28" s="685">
        <f t="shared" ref="E28:K28" si="5">SUM(E25:E27)</f>
        <v>0</v>
      </c>
      <c r="F28" s="685">
        <f t="shared" si="5"/>
        <v>0</v>
      </c>
      <c r="G28" s="685">
        <f t="shared" si="5"/>
        <v>0</v>
      </c>
      <c r="H28" s="685">
        <f t="shared" si="5"/>
        <v>0</v>
      </c>
      <c r="I28" s="685">
        <f t="shared" si="5"/>
        <v>0</v>
      </c>
      <c r="J28" s="685">
        <f t="shared" si="5"/>
        <v>0</v>
      </c>
      <c r="K28" s="686">
        <f t="shared" si="5"/>
        <v>0</v>
      </c>
      <c r="N28" s="130"/>
    </row>
    <row r="29" spans="2:14" s="2" customFormat="1">
      <c r="B29" s="12" t="s">
        <v>326</v>
      </c>
      <c r="C29" s="211" t="str">
        <f>'RFPR cover'!$C$14</f>
        <v>£m 12/13</v>
      </c>
      <c r="D29" s="687">
        <f>D18+D21+D24+D28</f>
        <v>1528.7087482214997</v>
      </c>
      <c r="E29" s="688">
        <f t="shared" ref="E29:K29" si="6">E18+E21+E24+E28</f>
        <v>1544.9798786505164</v>
      </c>
      <c r="F29" s="688">
        <f t="shared" si="6"/>
        <v>1561.892907966193</v>
      </c>
      <c r="G29" s="688">
        <f t="shared" si="6"/>
        <v>1593.9772325400379</v>
      </c>
      <c r="H29" s="688">
        <f t="shared" si="6"/>
        <v>1614.8130662102635</v>
      </c>
      <c r="I29" s="688">
        <f t="shared" si="6"/>
        <v>1631.8375314058922</v>
      </c>
      <c r="J29" s="688">
        <f t="shared" si="6"/>
        <v>1633.9389514249683</v>
      </c>
      <c r="K29" s="689">
        <f t="shared" si="6"/>
        <v>1644.9570527841172</v>
      </c>
      <c r="N29" s="130"/>
    </row>
    <row r="30" spans="2:14" s="2" customFormat="1">
      <c r="B30" s="12"/>
      <c r="C30" s="211"/>
      <c r="D30" s="211"/>
      <c r="E30" s="211"/>
      <c r="F30" s="211"/>
      <c r="G30" s="211"/>
      <c r="H30" s="211"/>
      <c r="I30" s="211"/>
      <c r="J30" s="211"/>
      <c r="K30" s="211"/>
      <c r="L30" s="211"/>
      <c r="N30" s="130"/>
    </row>
    <row r="31" spans="2:14" s="2" customFormat="1">
      <c r="B31" s="12" t="s">
        <v>494</v>
      </c>
      <c r="C31" s="211" t="str">
        <f>'RFPR cover'!$C$14</f>
        <v>£m 12/13</v>
      </c>
      <c r="D31" s="687">
        <f t="shared" ref="D31:K31" si="7">(D20+D23+D28)</f>
        <v>-9.8816685698778315</v>
      </c>
      <c r="E31" s="688">
        <f t="shared" si="7"/>
        <v>-2.8530144029895026</v>
      </c>
      <c r="F31" s="688">
        <f t="shared" si="7"/>
        <v>-3.2234850217359199</v>
      </c>
      <c r="G31" s="688">
        <f t="shared" si="7"/>
        <v>10.16869701637339</v>
      </c>
      <c r="H31" s="688">
        <f t="shared" si="7"/>
        <v>5.5253214245304507</v>
      </c>
      <c r="I31" s="688">
        <f t="shared" si="7"/>
        <v>7.5213236585490471</v>
      </c>
      <c r="J31" s="688">
        <f t="shared" si="7"/>
        <v>-2.9821421132927748</v>
      </c>
      <c r="K31" s="689">
        <f t="shared" si="7"/>
        <v>-1.7966723992761644</v>
      </c>
      <c r="L31" s="211"/>
      <c r="N31" s="130"/>
    </row>
    <row r="32" spans="2:14" s="2" customFormat="1">
      <c r="B32" s="12" t="s">
        <v>495</v>
      </c>
      <c r="C32" s="211"/>
      <c r="D32" s="512" t="str">
        <f>IF(D5="Actuals",IF(ABS((D29-SUM($D$31:D31))-D11)&lt;'RFPR cover'!$F$14,"TRUE","FALSE"),"NA")</f>
        <v>TRUE</v>
      </c>
      <c r="E32" s="512" t="str">
        <f>IF(E5="Actuals",IF(ABS((E29-SUM($D$31:E31))-E11)&lt;'RFPR cover'!$F$14,"TRUE","FALSE"),"NA")</f>
        <v>TRUE</v>
      </c>
      <c r="F32" s="512" t="str">
        <f>IF(F5="Actuals",IF(ABS((F29-SUM($D$31:F31))-F11)&lt;'RFPR cover'!$F$14,"TRUE","FALSE"),"NA")</f>
        <v>TRUE</v>
      </c>
      <c r="G32" s="512" t="str">
        <f>IF(G5="Actuals",IF(ABS((G29-SUM($D$31:G31))-G11)&lt;'RFPR cover'!$F$14,"TRUE","FALSE"),"NA")</f>
        <v>TRUE</v>
      </c>
      <c r="H32" s="512" t="str">
        <f>IF(H5="Actuals",IF(ABS((H29-SUM($D$31:H31))-H11)&lt;'RFPR cover'!$F$14,"TRUE","FALSE"),"NA")</f>
        <v>TRUE</v>
      </c>
      <c r="I32" s="512" t="str">
        <f>IF(I5="Actuals",IF(ABS((I29-SUM($D$31:I31))-I11)&lt;'RFPR cover'!$F$14,"TRUE","FALSE"),"NA")</f>
        <v>TRUE</v>
      </c>
      <c r="J32" s="512" t="str">
        <f>IF(J5="Actuals",IF(ABS((J29-SUM($D$31:J31))-J11)&lt;'RFPR cover'!$F$14,"TRUE","FALSE"),"NA")</f>
        <v>NA</v>
      </c>
      <c r="K32" s="512" t="str">
        <f>IF(K5="Actuals",IF(ABS((K29-SUM($D$31:K31))-K11)&lt;'RFPR cover'!$F$14,"TRUE","FALSE"),"NA")</f>
        <v>NA</v>
      </c>
      <c r="L32" s="211"/>
      <c r="M32" s="899"/>
      <c r="N32" s="899"/>
    </row>
    <row r="33" spans="2:14" s="35" customFormat="1">
      <c r="B33" s="51"/>
      <c r="C33" s="478"/>
      <c r="D33" s="479"/>
      <c r="E33" s="479"/>
      <c r="F33" s="479"/>
      <c r="G33" s="479"/>
      <c r="H33" s="479"/>
      <c r="I33" s="479"/>
      <c r="J33" s="479"/>
      <c r="K33" s="479"/>
      <c r="M33" s="899"/>
      <c r="N33" s="899"/>
    </row>
    <row r="34" spans="2:14" s="35" customFormat="1">
      <c r="B34" s="51" t="s">
        <v>39</v>
      </c>
      <c r="C34" s="268" t="s">
        <v>124</v>
      </c>
      <c r="D34" s="979">
        <f>Data!C$35</f>
        <v>1.0677429242873198</v>
      </c>
      <c r="E34" s="980">
        <f>Data!D$35</f>
        <v>1.1033002963114336</v>
      </c>
      <c r="F34" s="980">
        <f>Data!E$35</f>
        <v>1.1402881373250229</v>
      </c>
      <c r="G34" s="980">
        <f>Data!F$35</f>
        <v>1.171554102380709</v>
      </c>
      <c r="H34" s="980">
        <f>Data!G$35</f>
        <v>1.1958720752017984</v>
      </c>
      <c r="I34" s="980">
        <f>Data!H$35</f>
        <v>1.2220292224379279</v>
      </c>
      <c r="J34" s="980">
        <f>Data!I$35</f>
        <v>1.3448452028200675</v>
      </c>
      <c r="K34" s="981">
        <f>Data!J$35</f>
        <v>1.4564673546541329</v>
      </c>
      <c r="N34" s="226"/>
    </row>
    <row r="35" spans="2:14" s="31" customFormat="1">
      <c r="B35" s="37" t="s">
        <v>366</v>
      </c>
      <c r="C35" s="268" t="s">
        <v>124</v>
      </c>
      <c r="D35" s="982">
        <f>Data!C$34</f>
        <v>1.0603167467048125</v>
      </c>
      <c r="E35" s="983">
        <f>Data!D$34</f>
        <v>1.0830366813119445</v>
      </c>
      <c r="F35" s="983">
        <f>Data!E$34</f>
        <v>1.1235639113109226</v>
      </c>
      <c r="G35" s="983">
        <f>Data!F$34</f>
        <v>1.1578951670583426</v>
      </c>
      <c r="H35" s="983">
        <f>Data!G$34</f>
        <v>1.1878696229692449</v>
      </c>
      <c r="I35" s="983">
        <f>Data!H$34</f>
        <v>1.202275126868976</v>
      </c>
      <c r="J35" s="983">
        <f>Data!I$34</f>
        <v>1.2717209904294811</v>
      </c>
      <c r="K35" s="984">
        <f>Data!J$34</f>
        <v>1.3772738326351281</v>
      </c>
      <c r="L35" s="235"/>
      <c r="N35" s="213"/>
    </row>
    <row r="36" spans="2:14" s="31" customFormat="1">
      <c r="B36" s="172" t="s">
        <v>492</v>
      </c>
      <c r="C36" s="268" t="s">
        <v>124</v>
      </c>
      <c r="D36" s="818">
        <f>INDEX(Data!$F$14:$F$30,MATCH($D$6-1,Data!$C$14:$C$30,0),0)/IF('RFPR cover'!$C$6="ED1",Data!$E$17,Data!$E$14)</f>
        <v>1.0526208235414325</v>
      </c>
      <c r="E36" s="819"/>
      <c r="F36" s="819"/>
      <c r="G36" s="819"/>
      <c r="H36" s="819"/>
      <c r="I36" s="819"/>
      <c r="J36" s="819"/>
      <c r="K36" s="819"/>
      <c r="L36" s="235"/>
      <c r="N36" s="213"/>
    </row>
    <row r="37" spans="2:14" s="35" customFormat="1">
      <c r="B37" s="51"/>
      <c r="C37" s="478"/>
      <c r="D37" s="479"/>
      <c r="E37" s="479"/>
      <c r="F37" s="479"/>
      <c r="G37" s="479"/>
      <c r="H37" s="479"/>
      <c r="I37" s="479"/>
      <c r="J37" s="479"/>
      <c r="K37" s="479"/>
      <c r="N37" s="226"/>
    </row>
    <row r="38" spans="2:14" s="2" customFormat="1">
      <c r="B38" s="12" t="s">
        <v>326</v>
      </c>
      <c r="C38" s="267" t="s">
        <v>125</v>
      </c>
      <c r="D38" s="687">
        <f t="shared" ref="D38:K38" si="8">D29*D34</f>
        <v>1632.2679492096322</v>
      </c>
      <c r="E38" s="688">
        <f t="shared" si="8"/>
        <v>1704.5767579103174</v>
      </c>
      <c r="F38" s="688">
        <f t="shared" si="8"/>
        <v>1781.0079547259336</v>
      </c>
      <c r="G38" s="688">
        <f t="shared" si="8"/>
        <v>1867.4305658837309</v>
      </c>
      <c r="H38" s="688">
        <f t="shared" si="8"/>
        <v>1931.1098525518469</v>
      </c>
      <c r="I38" s="688">
        <f t="shared" si="8"/>
        <v>1994.1531496489702</v>
      </c>
      <c r="J38" s="688">
        <f t="shared" si="8"/>
        <v>2197.3949605247199</v>
      </c>
      <c r="K38" s="689">
        <f t="shared" si="8"/>
        <v>2395.8262471881421</v>
      </c>
      <c r="N38" s="130"/>
    </row>
    <row r="39" spans="2:14" s="2" customFormat="1">
      <c r="B39" s="12"/>
      <c r="C39" s="211"/>
      <c r="D39" s="211"/>
      <c r="E39" s="211"/>
      <c r="F39" s="211"/>
      <c r="G39" s="211"/>
      <c r="H39" s="211"/>
      <c r="I39" s="211"/>
      <c r="J39" s="211"/>
      <c r="K39" s="211"/>
      <c r="N39" s="130"/>
    </row>
    <row r="40" spans="2:14" s="2" customFormat="1">
      <c r="B40" s="503" t="s">
        <v>329</v>
      </c>
      <c r="C40" s="211" t="s">
        <v>332</v>
      </c>
      <c r="D40" s="409">
        <f>INDEX(Data!$K$73:$T$100,MATCH('RFPR cover'!$C$5,Data!$B$73:$B$100,0),MATCH('R9 - RAV'!D$6,Data!$K$72:$T$72,0))</f>
        <v>2.5499999999999998E-2</v>
      </c>
      <c r="E40" s="410">
        <f>INDEX(Data!$K$73:$T$100,MATCH('RFPR cover'!$C$5,Data!$B$73:$B$100,0),MATCH('R9 - RAV'!E$6,Data!$K$72:$T$72,0))</f>
        <v>2.4199999999999999E-2</v>
      </c>
      <c r="F40" s="410">
        <f>INDEX(Data!$K$73:$T$100,MATCH('RFPR cover'!$C$5,Data!$B$73:$B$100,0),MATCH('R9 - RAV'!F$6,Data!$K$72:$T$72,0))</f>
        <v>2.29E-2</v>
      </c>
      <c r="G40" s="410">
        <f>INDEX(Data!$K$73:$T$100,MATCH('RFPR cover'!$C$5,Data!$B$73:$B$100,0),MATCH('R9 - RAV'!G$6,Data!$K$72:$T$72,0))</f>
        <v>2.0899999999999998E-2</v>
      </c>
      <c r="H40" s="410">
        <f>INDEX(Data!$K$73:$T$100,MATCH('RFPR cover'!$C$5,Data!$B$73:$B$100,0),MATCH('R9 - RAV'!H$6,Data!$K$72:$T$72,0))</f>
        <v>1.9400000000000001E-2</v>
      </c>
      <c r="I40" s="410">
        <f>INDEX(Data!$K$73:$T$100,MATCH('RFPR cover'!$C$5,Data!$B$73:$B$100,0),MATCH('R9 - RAV'!I$6,Data!$K$72:$T$72,0))</f>
        <v>1.78E-2</v>
      </c>
      <c r="J40" s="410">
        <f>INDEX(Data!$K$73:$T$100,MATCH('RFPR cover'!$C$5,Data!$B$73:$B$100,0),MATCH('R9 - RAV'!J$6,Data!$K$72:$T$72,0))</f>
        <v>1.6199999999999999E-2</v>
      </c>
      <c r="K40" s="411">
        <f>INDEX(Data!$K$73:$T$100,MATCH('RFPR cover'!$C$5,Data!$B$73:$B$100,0),MATCH('R9 - RAV'!K$6,Data!$K$72:$T$72,0))</f>
        <v>1.47E-2</v>
      </c>
      <c r="N40" s="130"/>
    </row>
    <row r="41" spans="2:14" s="2" customFormat="1">
      <c r="B41" s="503" t="s">
        <v>330</v>
      </c>
      <c r="C41" s="211" t="s">
        <v>332</v>
      </c>
      <c r="D41" s="412">
        <f>'RFPR cover'!$C$10</f>
        <v>0.06</v>
      </c>
      <c r="E41" s="413">
        <f>'RFPR cover'!$C$10</f>
        <v>0.06</v>
      </c>
      <c r="F41" s="413">
        <f>'RFPR cover'!$C$10</f>
        <v>0.06</v>
      </c>
      <c r="G41" s="413">
        <f>'RFPR cover'!$C$10</f>
        <v>0.06</v>
      </c>
      <c r="H41" s="413">
        <f>'RFPR cover'!$C$10</f>
        <v>0.06</v>
      </c>
      <c r="I41" s="413">
        <f>'RFPR cover'!$C$10</f>
        <v>0.06</v>
      </c>
      <c r="J41" s="413">
        <f>'RFPR cover'!$C$10</f>
        <v>0.06</v>
      </c>
      <c r="K41" s="414">
        <f>'RFPR cover'!$C$10</f>
        <v>0.06</v>
      </c>
      <c r="N41" s="130"/>
    </row>
    <row r="42" spans="2:14" s="2" customFormat="1">
      <c r="B42" s="503" t="s">
        <v>331</v>
      </c>
      <c r="C42" s="211"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30"/>
    </row>
    <row r="43" spans="2:14">
      <c r="B43" s="201" t="s">
        <v>265</v>
      </c>
      <c r="C43" s="397" t="s">
        <v>332</v>
      </c>
      <c r="D43" s="406">
        <f t="shared" ref="D43:K43" si="9">D40*D42+D41*(1-D42)</f>
        <v>3.7574999999999997E-2</v>
      </c>
      <c r="E43" s="407">
        <f t="shared" si="9"/>
        <v>3.6729999999999999E-2</v>
      </c>
      <c r="F43" s="407">
        <f t="shared" si="9"/>
        <v>3.5885E-2</v>
      </c>
      <c r="G43" s="407">
        <f t="shared" si="9"/>
        <v>3.4584999999999998E-2</v>
      </c>
      <c r="H43" s="407">
        <f t="shared" si="9"/>
        <v>3.3610000000000001E-2</v>
      </c>
      <c r="I43" s="407">
        <f t="shared" si="9"/>
        <v>3.2570000000000002E-2</v>
      </c>
      <c r="J43" s="407">
        <f t="shared" si="9"/>
        <v>3.1529999999999996E-2</v>
      </c>
      <c r="K43" s="408">
        <f t="shared" si="9"/>
        <v>3.0554999999999999E-2</v>
      </c>
      <c r="L43" s="212"/>
    </row>
    <row r="44" spans="2:14">
      <c r="C44" s="224"/>
      <c r="D44" s="219"/>
      <c r="E44" s="219"/>
      <c r="F44" s="219"/>
      <c r="G44" s="219"/>
      <c r="H44" s="219"/>
      <c r="I44" s="219"/>
      <c r="J44" s="219"/>
      <c r="K44" s="219"/>
    </row>
    <row r="45" spans="2:14">
      <c r="B45" s="372" t="s">
        <v>333</v>
      </c>
      <c r="C45" s="397" t="str">
        <f>'RFPR cover'!$C$14</f>
        <v>£m 12/13</v>
      </c>
      <c r="D45" s="96">
        <f t="shared" ref="D45:K45" si="10">D47*D42</f>
        <v>973.62013405177265</v>
      </c>
      <c r="E45" s="97">
        <f t="shared" si="10"/>
        <v>981.15939756553053</v>
      </c>
      <c r="F45" s="97">
        <f t="shared" si="10"/>
        <v>992.14891286936017</v>
      </c>
      <c r="G45" s="97">
        <f t="shared" si="10"/>
        <v>1008.3402206553144</v>
      </c>
      <c r="H45" s="97">
        <f t="shared" si="10"/>
        <v>1025.7914096218024</v>
      </c>
      <c r="I45" s="97">
        <f t="shared" si="10"/>
        <v>1038.4328851645437</v>
      </c>
      <c r="J45" s="97">
        <f t="shared" si="10"/>
        <v>1045.1457583043912</v>
      </c>
      <c r="K45" s="98">
        <f t="shared" si="10"/>
        <v>1049.7904797732383</v>
      </c>
    </row>
    <row r="46" spans="2:14">
      <c r="B46" s="372" t="s">
        <v>225</v>
      </c>
      <c r="C46" s="397" t="str">
        <f>'RFPR cover'!$C$14</f>
        <v>£m 12/13</v>
      </c>
      <c r="D46" s="516">
        <f t="shared" ref="D46:K46" si="11">D47*(1-D42)</f>
        <v>524.25699525864673</v>
      </c>
      <c r="E46" s="517">
        <f t="shared" si="11"/>
        <v>528.31659868913175</v>
      </c>
      <c r="F46" s="517">
        <f t="shared" si="11"/>
        <v>534.23403000657845</v>
      </c>
      <c r="G46" s="517">
        <f t="shared" si="11"/>
        <v>542.95242650670775</v>
      </c>
      <c r="H46" s="517">
        <f t="shared" si="11"/>
        <v>552.34922056558582</v>
      </c>
      <c r="I46" s="517">
        <f t="shared" si="11"/>
        <v>559.15616893475419</v>
      </c>
      <c r="J46" s="517">
        <f t="shared" si="11"/>
        <v>562.77079293313363</v>
      </c>
      <c r="K46" s="518">
        <f t="shared" si="11"/>
        <v>565.27179680097436</v>
      </c>
    </row>
    <row r="47" spans="2:14">
      <c r="B47" s="201" t="s">
        <v>224</v>
      </c>
      <c r="C47" s="211" t="str">
        <f>'RFPR cover'!$C$14</f>
        <v>£m 12/13</v>
      </c>
      <c r="D47" s="103">
        <f t="shared" ref="D47:K47" si="12">AVERAGE(D16,D29*(1/(1+D43)))</f>
        <v>1497.8771293104194</v>
      </c>
      <c r="E47" s="104">
        <f t="shared" si="12"/>
        <v>1509.4759962546623</v>
      </c>
      <c r="F47" s="104">
        <f t="shared" si="12"/>
        <v>1526.3829428759386</v>
      </c>
      <c r="G47" s="104">
        <f t="shared" si="12"/>
        <v>1551.2926471620221</v>
      </c>
      <c r="H47" s="104">
        <f t="shared" si="12"/>
        <v>1578.1406301873881</v>
      </c>
      <c r="I47" s="104">
        <f t="shared" si="12"/>
        <v>1597.5890540992978</v>
      </c>
      <c r="J47" s="104">
        <f t="shared" si="12"/>
        <v>1607.9165512375248</v>
      </c>
      <c r="K47" s="105">
        <f t="shared" si="12"/>
        <v>1615.0622765742125</v>
      </c>
      <c r="N47" s="215"/>
    </row>
    <row r="48" spans="2:14">
      <c r="B48" s="201"/>
      <c r="C48" s="211"/>
      <c r="D48" s="211"/>
      <c r="E48" s="211"/>
      <c r="F48" s="211"/>
      <c r="G48" s="211"/>
      <c r="H48" s="211"/>
      <c r="I48" s="211"/>
      <c r="J48" s="211"/>
      <c r="K48" s="211"/>
      <c r="N48" s="215"/>
    </row>
    <row r="49" spans="2:14">
      <c r="B49" s="372" t="s">
        <v>334</v>
      </c>
      <c r="C49" s="397" t="str">
        <f>'RFPR cover'!$C$14</f>
        <v>£m 12/13</v>
      </c>
      <c r="D49" s="690">
        <f>D40*D45</f>
        <v>24.827313418320202</v>
      </c>
      <c r="E49" s="691">
        <f t="shared" ref="D49:K50" si="13">E40*E45</f>
        <v>23.744057421085838</v>
      </c>
      <c r="F49" s="691">
        <f t="shared" si="13"/>
        <v>22.720210104708347</v>
      </c>
      <c r="G49" s="691">
        <f t="shared" si="13"/>
        <v>21.07431061169607</v>
      </c>
      <c r="H49" s="691">
        <f t="shared" si="13"/>
        <v>19.900353346662968</v>
      </c>
      <c r="I49" s="691">
        <f t="shared" si="13"/>
        <v>18.484105355928879</v>
      </c>
      <c r="J49" s="691">
        <f t="shared" si="13"/>
        <v>16.931361284531135</v>
      </c>
      <c r="K49" s="692">
        <f t="shared" si="13"/>
        <v>15.431920052666603</v>
      </c>
    </row>
    <row r="50" spans="2:14">
      <c r="B50" s="372" t="s">
        <v>222</v>
      </c>
      <c r="C50" s="397" t="str">
        <f>'RFPR cover'!$C$14</f>
        <v>£m 12/13</v>
      </c>
      <c r="D50" s="93">
        <f t="shared" si="13"/>
        <v>31.455419715518801</v>
      </c>
      <c r="E50" s="94">
        <f t="shared" si="13"/>
        <v>31.698995921347905</v>
      </c>
      <c r="F50" s="94">
        <f t="shared" si="13"/>
        <v>32.054041800394707</v>
      </c>
      <c r="G50" s="94">
        <f t="shared" si="13"/>
        <v>32.577145590402466</v>
      </c>
      <c r="H50" s="94">
        <f t="shared" si="13"/>
        <v>33.14095323393515</v>
      </c>
      <c r="I50" s="94">
        <f t="shared" si="13"/>
        <v>33.549370136085251</v>
      </c>
      <c r="J50" s="94">
        <f t="shared" si="13"/>
        <v>33.766247575988018</v>
      </c>
      <c r="K50" s="95">
        <f t="shared" si="13"/>
        <v>33.916307808058463</v>
      </c>
      <c r="N50" s="215"/>
    </row>
    <row r="51" spans="2:14">
      <c r="B51" s="201" t="s">
        <v>336</v>
      </c>
      <c r="C51" s="397" t="str">
        <f>'RFPR cover'!$C$14</f>
        <v>£m 12/13</v>
      </c>
      <c r="D51" s="103">
        <f>SUM(D49:D50)</f>
        <v>56.282733133839002</v>
      </c>
      <c r="E51" s="104">
        <f t="shared" ref="E51:K51" si="14">SUM(E49:E50)</f>
        <v>55.443053342433743</v>
      </c>
      <c r="F51" s="104">
        <f t="shared" si="14"/>
        <v>54.774251905103057</v>
      </c>
      <c r="G51" s="104">
        <f t="shared" si="14"/>
        <v>53.651456202098537</v>
      </c>
      <c r="H51" s="104">
        <f t="shared" si="14"/>
        <v>53.041306580598118</v>
      </c>
      <c r="I51" s="104">
        <f t="shared" si="14"/>
        <v>52.033475492014134</v>
      </c>
      <c r="J51" s="104">
        <f t="shared" si="14"/>
        <v>50.697608860519153</v>
      </c>
      <c r="K51" s="105">
        <f t="shared" si="14"/>
        <v>49.348227860725068</v>
      </c>
      <c r="N51" s="215"/>
    </row>
    <row r="53" spans="2:14" s="31" customFormat="1">
      <c r="B53" s="372" t="s">
        <v>333</v>
      </c>
      <c r="C53" s="267" t="s">
        <v>125</v>
      </c>
      <c r="D53" s="96">
        <f t="shared" ref="D53:K54" si="15">D$35*D45</f>
        <v>1032.345733064079</v>
      </c>
      <c r="E53" s="97">
        <f t="shared" si="15"/>
        <v>1062.631617777399</v>
      </c>
      <c r="F53" s="97">
        <f t="shared" si="15"/>
        <v>1114.742713146378</v>
      </c>
      <c r="G53" s="97">
        <f t="shared" si="15"/>
        <v>1167.5522682473313</v>
      </c>
      <c r="H53" s="97">
        <f t="shared" si="15"/>
        <v>1218.5064549925407</v>
      </c>
      <c r="I53" s="97">
        <f t="shared" si="15"/>
        <v>1248.4820287561186</v>
      </c>
      <c r="J53" s="97">
        <f t="shared" si="15"/>
        <v>1329.1337988940313</v>
      </c>
      <c r="K53" s="98">
        <f t="shared" si="15"/>
        <v>1445.8489575411579</v>
      </c>
      <c r="L53" s="235"/>
      <c r="N53" s="213"/>
    </row>
    <row r="54" spans="2:14" s="31" customFormat="1">
      <c r="B54" s="372" t="s">
        <v>225</v>
      </c>
      <c r="C54" s="267" t="s">
        <v>125</v>
      </c>
      <c r="D54" s="516">
        <f t="shared" si="15"/>
        <v>555.87847164988864</v>
      </c>
      <c r="E54" s="517">
        <f t="shared" si="15"/>
        <v>572.18625572629162</v>
      </c>
      <c r="F54" s="517">
        <f t="shared" si="15"/>
        <v>600.24607630958803</v>
      </c>
      <c r="G54" s="517">
        <f t="shared" si="15"/>
        <v>628.68199059471681</v>
      </c>
      <c r="H54" s="517">
        <f t="shared" si="15"/>
        <v>656.11886038059879</v>
      </c>
      <c r="I54" s="517">
        <f t="shared" si="15"/>
        <v>672.25955394560219</v>
      </c>
      <c r="J54" s="517">
        <f t="shared" si="15"/>
        <v>715.68743017370912</v>
      </c>
      <c r="K54" s="518">
        <f t="shared" si="15"/>
        <v>778.53405406062336</v>
      </c>
      <c r="L54" s="235"/>
      <c r="N54" s="213"/>
    </row>
    <row r="55" spans="2:14">
      <c r="B55" s="201" t="s">
        <v>335</v>
      </c>
      <c r="C55" s="267" t="s">
        <v>125</v>
      </c>
      <c r="D55" s="693">
        <f>SUM(D53:D54)</f>
        <v>1588.2242047139675</v>
      </c>
      <c r="E55" s="694">
        <f t="shared" ref="E55:K55" si="16">SUM(E53:E54)</f>
        <v>1634.8178735036906</v>
      </c>
      <c r="F55" s="694">
        <f t="shared" si="16"/>
        <v>1714.9887894559661</v>
      </c>
      <c r="G55" s="694">
        <f t="shared" si="16"/>
        <v>1796.2342588420481</v>
      </c>
      <c r="H55" s="694">
        <f t="shared" si="16"/>
        <v>1874.6253153731395</v>
      </c>
      <c r="I55" s="694">
        <f t="shared" si="16"/>
        <v>1920.7415827017207</v>
      </c>
      <c r="J55" s="694">
        <f t="shared" si="16"/>
        <v>2044.8212290677404</v>
      </c>
      <c r="K55" s="695">
        <f t="shared" si="16"/>
        <v>2224.3830116017812</v>
      </c>
    </row>
    <row r="56" spans="2:14" s="31" customFormat="1">
      <c r="B56" s="201"/>
      <c r="C56" s="211"/>
      <c r="D56" s="211"/>
      <c r="E56" s="211"/>
      <c r="F56" s="211"/>
      <c r="G56" s="211"/>
      <c r="H56" s="211"/>
      <c r="I56" s="211"/>
      <c r="J56" s="211"/>
      <c r="K56" s="211"/>
      <c r="L56" s="235"/>
      <c r="N56" s="213"/>
    </row>
    <row r="57" spans="2:14" s="31" customFormat="1">
      <c r="B57" s="372" t="s">
        <v>334</v>
      </c>
      <c r="C57" s="267" t="s">
        <v>125</v>
      </c>
      <c r="D57" s="96">
        <f t="shared" ref="D57:K58" si="17">D$35*D49</f>
        <v>26.324816193134012</v>
      </c>
      <c r="E57" s="97">
        <f t="shared" si="17"/>
        <v>25.715685150213055</v>
      </c>
      <c r="F57" s="97">
        <f t="shared" si="17"/>
        <v>25.527608131052055</v>
      </c>
      <c r="G57" s="97">
        <f t="shared" si="17"/>
        <v>24.401842406369223</v>
      </c>
      <c r="H57" s="97">
        <f t="shared" si="17"/>
        <v>23.639025226855292</v>
      </c>
      <c r="I57" s="97">
        <f t="shared" si="17"/>
        <v>22.222980111858909</v>
      </c>
      <c r="J57" s="97">
        <f t="shared" si="17"/>
        <v>21.531967542083308</v>
      </c>
      <c r="K57" s="98">
        <f t="shared" si="17"/>
        <v>21.253979675855021</v>
      </c>
      <c r="L57" s="235"/>
      <c r="N57" s="213"/>
    </row>
    <row r="58" spans="2:14">
      <c r="B58" s="372" t="s">
        <v>231</v>
      </c>
      <c r="C58" s="267" t="s">
        <v>125</v>
      </c>
      <c r="D58" s="696">
        <f t="shared" si="17"/>
        <v>33.352708298993313</v>
      </c>
      <c r="E58" s="697">
        <f t="shared" si="17"/>
        <v>34.331175343577499</v>
      </c>
      <c r="F58" s="697">
        <f t="shared" si="17"/>
        <v>36.014764578575281</v>
      </c>
      <c r="G58" s="697">
        <f t="shared" si="17"/>
        <v>37.720919435683015</v>
      </c>
      <c r="H58" s="697">
        <f t="shared" si="17"/>
        <v>39.367131622835927</v>
      </c>
      <c r="I58" s="697">
        <f t="shared" si="17"/>
        <v>40.335573236736131</v>
      </c>
      <c r="J58" s="697">
        <f t="shared" si="17"/>
        <v>42.941245810422544</v>
      </c>
      <c r="K58" s="698">
        <f t="shared" si="17"/>
        <v>46.712043243637403</v>
      </c>
    </row>
    <row r="59" spans="2:14">
      <c r="B59" s="201" t="s">
        <v>336</v>
      </c>
      <c r="C59" s="267" t="s">
        <v>125</v>
      </c>
      <c r="D59" s="103">
        <f t="shared" ref="D59:K59" si="18">SUM(D57:D58)</f>
        <v>59.677524492127326</v>
      </c>
      <c r="E59" s="104">
        <f t="shared" si="18"/>
        <v>60.046860493790554</v>
      </c>
      <c r="F59" s="104">
        <f t="shared" si="18"/>
        <v>61.542372709627337</v>
      </c>
      <c r="G59" s="104">
        <f t="shared" si="18"/>
        <v>62.122761842052242</v>
      </c>
      <c r="H59" s="104">
        <f t="shared" si="18"/>
        <v>63.006156849691223</v>
      </c>
      <c r="I59" s="104">
        <f t="shared" si="18"/>
        <v>62.558553348595041</v>
      </c>
      <c r="J59" s="104">
        <f t="shared" si="18"/>
        <v>64.473213352505852</v>
      </c>
      <c r="K59" s="105">
        <f t="shared" si="18"/>
        <v>67.966022919492417</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52" priority="13">
      <formula>AND(D$5="Actuals",E$5="Forecast")</formula>
    </cfRule>
  </conditionalFormatting>
  <conditionalFormatting sqref="D5:K5">
    <cfRule type="expression" dxfId="5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864" t="s">
        <v>254</v>
      </c>
      <c r="B1" s="860"/>
      <c r="C1" s="257"/>
      <c r="D1" s="257"/>
      <c r="E1" s="257"/>
      <c r="F1" s="257"/>
      <c r="G1" s="257"/>
      <c r="H1" s="257"/>
      <c r="I1" s="258"/>
      <c r="J1" s="258"/>
      <c r="K1" s="259"/>
      <c r="L1" s="260"/>
    </row>
    <row r="2" spans="1:13" s="31" customFormat="1" ht="20.25">
      <c r="A2" s="853" t="str">
        <f>'RFPR cover'!C5</f>
        <v>SPD</v>
      </c>
      <c r="B2" s="845"/>
      <c r="C2" s="29"/>
      <c r="D2" s="29"/>
      <c r="E2" s="29"/>
      <c r="F2" s="29"/>
      <c r="G2" s="29"/>
      <c r="H2" s="29"/>
      <c r="I2" s="27"/>
      <c r="J2" s="27"/>
      <c r="K2" s="27"/>
      <c r="L2" s="124"/>
    </row>
    <row r="3" spans="1:13" s="31" customFormat="1" ht="20.25">
      <c r="A3" s="856">
        <f>'RFPR cover'!C7</f>
        <v>2022</v>
      </c>
      <c r="B3" s="863"/>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Forecast</v>
      </c>
      <c r="K5" s="390"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0"/>
      <c r="E7" s="430"/>
      <c r="F7" s="430"/>
      <c r="G7" s="430"/>
      <c r="H7" s="430"/>
      <c r="I7" s="430"/>
      <c r="J7" s="430"/>
      <c r="K7" s="430"/>
    </row>
    <row r="8" spans="1:13" s="2" customFormat="1">
      <c r="B8" s="369" t="s">
        <v>356</v>
      </c>
      <c r="C8" s="294"/>
      <c r="D8" s="294"/>
      <c r="E8" s="294"/>
      <c r="F8" s="294"/>
      <c r="G8" s="294"/>
      <c r="H8" s="294"/>
      <c r="I8" s="294"/>
      <c r="J8" s="294"/>
      <c r="K8" s="294"/>
      <c r="L8" s="294"/>
    </row>
    <row r="9" spans="1:13" s="2" customFormat="1">
      <c r="B9" s="369" t="s">
        <v>455</v>
      </c>
      <c r="C9" s="294"/>
      <c r="D9" s="294"/>
      <c r="E9" s="294"/>
      <c r="F9" s="294"/>
      <c r="G9" s="294"/>
      <c r="H9" s="294"/>
      <c r="I9" s="294"/>
      <c r="J9" s="294"/>
      <c r="K9" s="294"/>
      <c r="L9" s="294"/>
    </row>
    <row r="10" spans="1:13" s="2" customFormat="1">
      <c r="B10" s="369" t="s">
        <v>357</v>
      </c>
      <c r="C10" s="294"/>
      <c r="D10" s="294"/>
      <c r="E10" s="294"/>
      <c r="F10" s="294"/>
      <c r="G10" s="294"/>
      <c r="H10" s="294"/>
      <c r="I10" s="294"/>
      <c r="J10" s="294"/>
      <c r="K10" s="294"/>
      <c r="L10" s="294"/>
    </row>
    <row r="11" spans="1:13" s="35" customFormat="1">
      <c r="B11" s="429"/>
    </row>
    <row r="12" spans="1:13">
      <c r="B12" s="200" t="s">
        <v>516</v>
      </c>
      <c r="C12" s="267" t="s">
        <v>125</v>
      </c>
      <c r="D12" s="614">
        <v>20.9345368</v>
      </c>
      <c r="E12" s="615">
        <v>19.895444569999999</v>
      </c>
      <c r="F12" s="615">
        <v>20.780991789999998</v>
      </c>
      <c r="G12" s="615">
        <v>24.372031310000004</v>
      </c>
      <c r="H12" s="615">
        <v>24.795568859999999</v>
      </c>
      <c r="I12" s="985">
        <v>0</v>
      </c>
      <c r="J12" s="615">
        <v>0</v>
      </c>
      <c r="K12" s="616">
        <v>0</v>
      </c>
    </row>
    <row r="13" spans="1:13">
      <c r="B13" s="14"/>
      <c r="C13" s="14"/>
      <c r="D13" s="699"/>
      <c r="E13" s="699"/>
      <c r="F13" s="699"/>
      <c r="G13" s="699"/>
      <c r="H13" s="699"/>
      <c r="I13" s="699"/>
      <c r="J13" s="699"/>
      <c r="K13" s="699"/>
    </row>
    <row r="14" spans="1:13">
      <c r="B14" s="14" t="s">
        <v>454</v>
      </c>
      <c r="C14" s="267"/>
      <c r="D14" s="699"/>
      <c r="E14" s="699"/>
      <c r="F14" s="699"/>
      <c r="G14" s="699"/>
      <c r="H14" s="699"/>
      <c r="I14" s="699"/>
      <c r="J14" s="699"/>
      <c r="K14" s="699"/>
    </row>
    <row r="15" spans="1:13">
      <c r="B15" s="370" t="s">
        <v>475</v>
      </c>
      <c r="C15" s="267" t="s">
        <v>125</v>
      </c>
      <c r="D15" s="590">
        <v>0</v>
      </c>
      <c r="E15" s="591">
        <v>0</v>
      </c>
      <c r="F15" s="591">
        <v>0</v>
      </c>
      <c r="G15" s="591">
        <v>0</v>
      </c>
      <c r="H15" s="591">
        <v>0</v>
      </c>
      <c r="I15" s="591">
        <v>0</v>
      </c>
      <c r="J15" s="591">
        <v>0</v>
      </c>
      <c r="K15" s="600">
        <v>0</v>
      </c>
    </row>
    <row r="16" spans="1:13">
      <c r="B16" s="431" t="s">
        <v>586</v>
      </c>
      <c r="C16" s="267" t="s">
        <v>125</v>
      </c>
      <c r="D16" s="592">
        <v>0</v>
      </c>
      <c r="E16" s="593">
        <v>0</v>
      </c>
      <c r="F16" s="593">
        <v>0</v>
      </c>
      <c r="G16" s="593">
        <v>0</v>
      </c>
      <c r="H16" s="593">
        <v>0</v>
      </c>
      <c r="I16" s="593">
        <v>0</v>
      </c>
      <c r="J16" s="593">
        <v>0</v>
      </c>
      <c r="K16" s="601">
        <v>0</v>
      </c>
    </row>
    <row r="17" spans="2:12">
      <c r="B17" s="431" t="s">
        <v>586</v>
      </c>
      <c r="C17" s="267" t="s">
        <v>125</v>
      </c>
      <c r="D17" s="592">
        <v>0</v>
      </c>
      <c r="E17" s="593">
        <v>0</v>
      </c>
      <c r="F17" s="593">
        <v>0</v>
      </c>
      <c r="G17" s="593">
        <v>0</v>
      </c>
      <c r="H17" s="593">
        <v>0</v>
      </c>
      <c r="I17" s="593">
        <v>0</v>
      </c>
      <c r="J17" s="593">
        <v>0</v>
      </c>
      <c r="K17" s="601">
        <v>0</v>
      </c>
    </row>
    <row r="18" spans="2:12">
      <c r="B18" s="431" t="s">
        <v>586</v>
      </c>
      <c r="C18" s="267" t="s">
        <v>125</v>
      </c>
      <c r="D18" s="592">
        <v>0</v>
      </c>
      <c r="E18" s="593">
        <v>0</v>
      </c>
      <c r="F18" s="593">
        <v>0</v>
      </c>
      <c r="G18" s="593">
        <v>0</v>
      </c>
      <c r="H18" s="593">
        <v>0</v>
      </c>
      <c r="I18" s="593">
        <v>0</v>
      </c>
      <c r="J18" s="593">
        <v>0</v>
      </c>
      <c r="K18" s="601">
        <v>0</v>
      </c>
    </row>
    <row r="19" spans="2:12">
      <c r="B19" s="269" t="s">
        <v>358</v>
      </c>
      <c r="C19" s="267" t="s">
        <v>125</v>
      </c>
      <c r="D19" s="986">
        <f>SUM(D15:D18)</f>
        <v>0</v>
      </c>
      <c r="E19" s="987">
        <f t="shared" ref="E19:K19" si="1">SUM(E15:E18)</f>
        <v>0</v>
      </c>
      <c r="F19" s="987">
        <f t="shared" si="1"/>
        <v>0</v>
      </c>
      <c r="G19" s="987">
        <f t="shared" si="1"/>
        <v>0</v>
      </c>
      <c r="H19" s="987">
        <f t="shared" si="1"/>
        <v>0</v>
      </c>
      <c r="I19" s="987">
        <f t="shared" si="1"/>
        <v>0</v>
      </c>
      <c r="J19" s="987">
        <f t="shared" si="1"/>
        <v>0</v>
      </c>
      <c r="K19" s="988">
        <f t="shared" si="1"/>
        <v>0</v>
      </c>
    </row>
    <row r="20" spans="2:12" s="31" customFormat="1">
      <c r="B20" s="370"/>
      <c r="C20" s="370"/>
      <c r="D20" s="703"/>
      <c r="E20" s="703"/>
      <c r="F20" s="703"/>
      <c r="G20" s="703"/>
      <c r="H20" s="703"/>
      <c r="I20" s="703"/>
      <c r="J20" s="703"/>
      <c r="K20" s="703"/>
      <c r="L20" s="370"/>
    </row>
    <row r="21" spans="2:12">
      <c r="B21" s="14" t="s">
        <v>325</v>
      </c>
      <c r="C21" s="267"/>
      <c r="D21" s="704"/>
      <c r="E21" s="704"/>
      <c r="F21" s="704"/>
      <c r="G21" s="704"/>
      <c r="H21" s="704"/>
      <c r="I21" s="704"/>
      <c r="J21" s="704"/>
      <c r="K21" s="704"/>
      <c r="L21" s="267"/>
    </row>
    <row r="22" spans="2:12">
      <c r="B22" s="370" t="s">
        <v>476</v>
      </c>
      <c r="C22" s="267" t="s">
        <v>125</v>
      </c>
      <c r="D22" s="806">
        <f>('R5 - Output Incentives'!D102)*INDEX(Data!$G$14:$G$30,MATCH('R10 - Tax'!D$6,Data!$C$14:$C$30,0),1)</f>
        <v>1.4297913899999997</v>
      </c>
      <c r="E22" s="807">
        <f>('R5 - Output Incentives'!E102)*INDEX(Data!$G$14:$G$30,MATCH('R10 - Tax'!E$6,Data!$C$14:$C$30,0),1)</f>
        <v>2.2390234200000001</v>
      </c>
      <c r="F22" s="807">
        <f>('R5 - Output Incentives'!F102)*INDEX(Data!$G$14:$G$30,MATCH('R10 - Tax'!F$6,Data!$C$14:$C$30,0),1)</f>
        <v>2.2768498564375976</v>
      </c>
      <c r="G22" s="807">
        <f>('R5 - Output Incentives'!G102)*INDEX(Data!$G$14:$G$30,MATCH('R10 - Tax'!G$6,Data!$C$14:$C$30,0),1)</f>
        <v>3.0246540702128</v>
      </c>
      <c r="H22" s="809">
        <f>('R5 - Output Incentives'!H102)*INDEX(Data!$G$14:$G$30,MATCH('R10 - Tax'!H$6,Data!$C$14:$C$30,0),1)</f>
        <v>2.885907737363107</v>
      </c>
      <c r="I22" s="809">
        <f>('R5 - Output Incentives'!I102)*INDEX(Data!$G$14:$G$30,MATCH('R10 - Tax'!I$6,Data!$C$14:$C$30,0),1)</f>
        <v>2.0620241030909603</v>
      </c>
      <c r="J22" s="809">
        <f>('R5 - Output Incentives'!J102)*INDEX(Data!$G$14:$G$30,MATCH('R10 - Tax'!J$6,Data!$C$14:$C$30,0),1)</f>
        <v>2.3940864854085588</v>
      </c>
      <c r="K22" s="810">
        <f>('R5 - Output Incentives'!K102)*INDEX(Data!$G$14:$G$30,MATCH('R10 - Tax'!K$6,Data!$C$14:$C$30,0),1)</f>
        <v>3.0677407852876386</v>
      </c>
    </row>
    <row r="23" spans="2:12">
      <c r="B23" s="370" t="s">
        <v>477</v>
      </c>
      <c r="C23" s="267" t="s">
        <v>125</v>
      </c>
      <c r="D23" s="594">
        <f>('R4 - Totex'!D77-'R4 - Totex'!D79)*D39</f>
        <v>0</v>
      </c>
      <c r="E23" s="596">
        <f>('R4 - Totex'!E77-'R4 - Totex'!E79)*E39</f>
        <v>0</v>
      </c>
      <c r="F23" s="596">
        <f>('R4 - Totex'!F77-'R4 - Totex'!F79)*F39</f>
        <v>0</v>
      </c>
      <c r="G23" s="596">
        <f>('R4 - Totex'!G77-'R4 - Totex'!G79)*G39</f>
        <v>0</v>
      </c>
      <c r="H23" s="811">
        <f>('R4 - Totex'!H77-'R4 - Totex'!H79)*H39</f>
        <v>0</v>
      </c>
      <c r="I23" s="811">
        <f>('R4 - Totex'!I77-'R4 - Totex'!I79)*I39</f>
        <v>0</v>
      </c>
      <c r="J23" s="811">
        <f>('R4 - Totex'!J77-'R4 - Totex'!J79)*J39</f>
        <v>0</v>
      </c>
      <c r="K23" s="812">
        <f>('R4 - Totex'!K77-'R4 - Totex'!K79)*K39</f>
        <v>0</v>
      </c>
    </row>
    <row r="24" spans="2:12">
      <c r="B24" s="370" t="s">
        <v>478</v>
      </c>
      <c r="C24" s="267" t="s">
        <v>125</v>
      </c>
      <c r="D24" s="590">
        <v>0</v>
      </c>
      <c r="E24" s="591">
        <v>0</v>
      </c>
      <c r="F24" s="591">
        <v>0</v>
      </c>
      <c r="G24" s="591">
        <v>0</v>
      </c>
      <c r="H24" s="591">
        <v>0</v>
      </c>
      <c r="I24" s="591">
        <v>0</v>
      </c>
      <c r="J24" s="591">
        <v>0</v>
      </c>
      <c r="K24" s="600">
        <v>0</v>
      </c>
    </row>
    <row r="25" spans="2:12">
      <c r="B25" s="370" t="s">
        <v>479</v>
      </c>
      <c r="C25" s="267" t="s">
        <v>125</v>
      </c>
      <c r="D25" s="592">
        <v>0</v>
      </c>
      <c r="E25" s="593">
        <v>0</v>
      </c>
      <c r="F25" s="593">
        <v>0</v>
      </c>
      <c r="G25" s="593">
        <v>0</v>
      </c>
      <c r="H25" s="593">
        <v>0</v>
      </c>
      <c r="I25" s="593">
        <v>0</v>
      </c>
      <c r="J25" s="593">
        <v>0</v>
      </c>
      <c r="K25" s="601">
        <v>0</v>
      </c>
    </row>
    <row r="26" spans="2:12">
      <c r="B26" s="370" t="s">
        <v>480</v>
      </c>
      <c r="C26" s="267" t="s">
        <v>125</v>
      </c>
      <c r="D26" s="592">
        <v>0</v>
      </c>
      <c r="E26" s="593">
        <v>0</v>
      </c>
      <c r="F26" s="593">
        <v>0</v>
      </c>
      <c r="G26" s="593">
        <v>0</v>
      </c>
      <c r="H26" s="593">
        <v>0</v>
      </c>
      <c r="I26" s="593">
        <v>0</v>
      </c>
      <c r="J26" s="593">
        <v>0</v>
      </c>
      <c r="K26" s="601">
        <v>0</v>
      </c>
    </row>
    <row r="27" spans="2:12">
      <c r="B27" s="370" t="s">
        <v>481</v>
      </c>
      <c r="C27" s="267" t="s">
        <v>125</v>
      </c>
      <c r="D27" s="592">
        <v>0</v>
      </c>
      <c r="E27" s="593">
        <v>0</v>
      </c>
      <c r="F27" s="593">
        <v>0</v>
      </c>
      <c r="G27" s="593">
        <v>0</v>
      </c>
      <c r="H27" s="593">
        <v>0</v>
      </c>
      <c r="I27" s="593">
        <v>0</v>
      </c>
      <c r="J27" s="593">
        <v>0</v>
      </c>
      <c r="K27" s="601">
        <v>0</v>
      </c>
    </row>
    <row r="28" spans="2:12">
      <c r="B28" s="370" t="s">
        <v>557</v>
      </c>
      <c r="C28" s="267" t="s">
        <v>125</v>
      </c>
      <c r="D28" s="592">
        <v>0</v>
      </c>
      <c r="E28" s="593">
        <v>0</v>
      </c>
      <c r="F28" s="593">
        <v>0</v>
      </c>
      <c r="G28" s="593">
        <v>0</v>
      </c>
      <c r="H28" s="593">
        <v>0</v>
      </c>
      <c r="I28" s="593">
        <v>0</v>
      </c>
      <c r="J28" s="593">
        <v>0</v>
      </c>
      <c r="K28" s="601">
        <v>0</v>
      </c>
    </row>
    <row r="29" spans="2:12">
      <c r="B29" s="431" t="s">
        <v>587</v>
      </c>
      <c r="C29" s="267" t="s">
        <v>125</v>
      </c>
      <c r="D29" s="592">
        <v>-2.1194983999999999</v>
      </c>
      <c r="E29" s="593">
        <v>-0.15299699999999999</v>
      </c>
      <c r="F29" s="593">
        <v>0.85923225000000003</v>
      </c>
      <c r="G29" s="593">
        <v>2.7055777231506855</v>
      </c>
      <c r="H29" s="593">
        <v>-0.26806102980013352</v>
      </c>
      <c r="I29" s="593">
        <v>0</v>
      </c>
      <c r="J29" s="593">
        <v>0</v>
      </c>
      <c r="K29" s="601">
        <v>0</v>
      </c>
    </row>
    <row r="30" spans="2:12">
      <c r="B30" s="431" t="s">
        <v>588</v>
      </c>
      <c r="C30" s="267" t="s">
        <v>125</v>
      </c>
      <c r="D30" s="592">
        <v>0</v>
      </c>
      <c r="E30" s="593">
        <v>-0.77882523000000048</v>
      </c>
      <c r="F30" s="593">
        <v>0</v>
      </c>
      <c r="G30" s="593">
        <v>0</v>
      </c>
      <c r="H30" s="593">
        <v>0</v>
      </c>
      <c r="I30" s="593">
        <v>0</v>
      </c>
      <c r="J30" s="593">
        <v>0</v>
      </c>
      <c r="K30" s="601">
        <v>0</v>
      </c>
    </row>
    <row r="31" spans="2:12">
      <c r="B31" s="431" t="s">
        <v>589</v>
      </c>
      <c r="C31" s="267" t="s">
        <v>125</v>
      </c>
      <c r="D31" s="592">
        <v>10.331471462742645</v>
      </c>
      <c r="E31" s="593">
        <v>5.4583475380839701</v>
      </c>
      <c r="F31" s="593">
        <v>3.5590250707362436</v>
      </c>
      <c r="G31" s="593">
        <v>6.2260958096194692</v>
      </c>
      <c r="H31" s="593">
        <v>8.1349574579737194</v>
      </c>
      <c r="I31" s="593">
        <v>0</v>
      </c>
      <c r="J31" s="593">
        <v>0</v>
      </c>
      <c r="K31" s="601">
        <v>0</v>
      </c>
    </row>
    <row r="32" spans="2:12">
      <c r="B32" s="431" t="s">
        <v>586</v>
      </c>
      <c r="C32" s="267" t="s">
        <v>125</v>
      </c>
      <c r="D32" s="592">
        <v>0</v>
      </c>
      <c r="E32" s="593">
        <v>0</v>
      </c>
      <c r="F32" s="593">
        <v>0</v>
      </c>
      <c r="G32" s="593">
        <v>0</v>
      </c>
      <c r="H32" s="593">
        <v>0</v>
      </c>
      <c r="I32" s="593">
        <v>0</v>
      </c>
      <c r="J32" s="593">
        <v>0</v>
      </c>
      <c r="K32" s="601">
        <v>0</v>
      </c>
    </row>
    <row r="33" spans="2:13">
      <c r="B33" s="431" t="s">
        <v>590</v>
      </c>
      <c r="C33" s="267" t="s">
        <v>125</v>
      </c>
      <c r="D33" s="922">
        <v>0</v>
      </c>
      <c r="E33" s="923">
        <v>0</v>
      </c>
      <c r="F33" s="923">
        <v>0</v>
      </c>
      <c r="G33" s="923">
        <v>0</v>
      </c>
      <c r="H33" s="923">
        <v>0</v>
      </c>
      <c r="I33" s="923">
        <v>0</v>
      </c>
      <c r="J33" s="923">
        <v>0</v>
      </c>
      <c r="K33" s="610">
        <v>0</v>
      </c>
    </row>
    <row r="34" spans="2:13">
      <c r="B34" s="14" t="s">
        <v>170</v>
      </c>
      <c r="C34" s="267" t="s">
        <v>125</v>
      </c>
      <c r="D34" s="705">
        <f t="shared" ref="D34:K34" si="2">SUM(D22:D33)</f>
        <v>9.6417644527426454</v>
      </c>
      <c r="E34" s="706">
        <f t="shared" si="2"/>
        <v>6.7655487280839699</v>
      </c>
      <c r="F34" s="706">
        <f t="shared" si="2"/>
        <v>6.6951071771738411</v>
      </c>
      <c r="G34" s="706">
        <f t="shared" si="2"/>
        <v>11.956327602982954</v>
      </c>
      <c r="H34" s="706">
        <f t="shared" si="2"/>
        <v>10.752804165536693</v>
      </c>
      <c r="I34" s="706">
        <f t="shared" si="2"/>
        <v>2.0620241030909603</v>
      </c>
      <c r="J34" s="706">
        <f t="shared" si="2"/>
        <v>2.3940864854085588</v>
      </c>
      <c r="K34" s="707">
        <f t="shared" si="2"/>
        <v>3.0677407852876386</v>
      </c>
    </row>
    <row r="36" spans="2:13" ht="12.75" customHeight="1">
      <c r="B36" s="775" t="s">
        <v>488</v>
      </c>
      <c r="C36" s="267" t="s">
        <v>125</v>
      </c>
      <c r="D36" s="590"/>
      <c r="E36" s="591"/>
      <c r="F36" s="591"/>
      <c r="G36" s="591"/>
      <c r="H36" s="591"/>
      <c r="I36" s="591">
        <v>17.205083178971151</v>
      </c>
      <c r="J36" s="591">
        <v>15.862725971189667</v>
      </c>
      <c r="K36" s="600">
        <v>8.5282040056497994</v>
      </c>
    </row>
    <row r="37" spans="2:13" ht="12.75" customHeight="1">
      <c r="B37" s="775" t="s">
        <v>458</v>
      </c>
      <c r="C37" s="267" t="s">
        <v>125</v>
      </c>
      <c r="D37" s="989">
        <f t="shared" ref="D37:K37" si="3">D12+D36-D19-D34</f>
        <v>11.292772347257355</v>
      </c>
      <c r="E37" s="990">
        <f>E12+E36-E19-E34</f>
        <v>13.129895841916028</v>
      </c>
      <c r="F37" s="990">
        <f>F12+F36-F19-F34</f>
        <v>14.085884612826156</v>
      </c>
      <c r="G37" s="990">
        <f>G12+G36-G19-G34</f>
        <v>12.41570370701705</v>
      </c>
      <c r="H37" s="990">
        <f>H12+H36-H19-H34</f>
        <v>14.042764694463306</v>
      </c>
      <c r="I37" s="990">
        <f t="shared" si="3"/>
        <v>15.14305907588019</v>
      </c>
      <c r="J37" s="990">
        <f t="shared" si="3"/>
        <v>13.468639485781107</v>
      </c>
      <c r="K37" s="991">
        <f t="shared" si="3"/>
        <v>5.4604632203621613</v>
      </c>
    </row>
    <row r="38" spans="2:13" ht="12.75" customHeight="1">
      <c r="B38" s="482"/>
      <c r="C38" s="267"/>
      <c r="D38" s="267"/>
      <c r="E38" s="267"/>
      <c r="F38" s="267"/>
      <c r="G38" s="267"/>
      <c r="H38" s="267"/>
      <c r="I38" s="267"/>
      <c r="J38" s="267"/>
      <c r="K38" s="267"/>
    </row>
    <row r="39" spans="2:13">
      <c r="B39" s="37" t="s">
        <v>466</v>
      </c>
      <c r="C39" s="268" t="s">
        <v>124</v>
      </c>
      <c r="D39" s="113">
        <f>Data!C$34</f>
        <v>1.0603167467048125</v>
      </c>
      <c r="E39" s="114">
        <f>Data!D$34</f>
        <v>1.0830366813119445</v>
      </c>
      <c r="F39" s="114">
        <f>Data!E$34</f>
        <v>1.1235639113109226</v>
      </c>
      <c r="G39" s="114">
        <f>Data!F$34</f>
        <v>1.1578951670583426</v>
      </c>
      <c r="H39" s="114">
        <f>Data!G$34</f>
        <v>1.1878696229692449</v>
      </c>
      <c r="I39" s="114">
        <f>Data!H$34</f>
        <v>1.202275126868976</v>
      </c>
      <c r="J39" s="114">
        <f>Data!I$34</f>
        <v>1.2717209904294811</v>
      </c>
      <c r="K39" s="115">
        <f>Data!J$34</f>
        <v>1.3772738326351281</v>
      </c>
      <c r="L39" s="267"/>
    </row>
    <row r="40" spans="2:13">
      <c r="B40" s="200"/>
      <c r="C40" s="267"/>
      <c r="D40" s="267"/>
      <c r="E40" s="267"/>
      <c r="F40" s="267"/>
      <c r="G40" s="267"/>
      <c r="H40" s="267"/>
      <c r="I40" s="267"/>
      <c r="J40" s="267"/>
      <c r="K40" s="267"/>
    </row>
    <row r="41" spans="2:13">
      <c r="B41" s="539" t="s">
        <v>459</v>
      </c>
      <c r="C41" s="397" t="str">
        <f>'RFPR cover'!$C$14</f>
        <v>£m 12/13</v>
      </c>
      <c r="D41" s="742">
        <f t="shared" ref="D41:K41" si="4">D37/D39</f>
        <v>10.650376297792468</v>
      </c>
      <c r="E41" s="743">
        <f t="shared" si="4"/>
        <v>12.123223588337776</v>
      </c>
      <c r="F41" s="743">
        <f t="shared" si="4"/>
        <v>12.536789826571944</v>
      </c>
      <c r="G41" s="743">
        <f t="shared" si="4"/>
        <v>10.722649217510261</v>
      </c>
      <c r="H41" s="743">
        <f t="shared" si="4"/>
        <v>11.821806385924297</v>
      </c>
      <c r="I41" s="743">
        <f t="shared" si="4"/>
        <v>12.595335907278136</v>
      </c>
      <c r="J41" s="743">
        <f t="shared" si="4"/>
        <v>10.590876133319563</v>
      </c>
      <c r="K41" s="744">
        <f t="shared" si="4"/>
        <v>3.9646895853054116</v>
      </c>
    </row>
    <row r="42" spans="2:13">
      <c r="B42" s="775"/>
      <c r="C42" s="775"/>
      <c r="D42" s="775"/>
      <c r="E42" s="775"/>
      <c r="F42" s="775"/>
      <c r="G42" s="775"/>
      <c r="H42" s="775"/>
      <c r="I42" s="775"/>
      <c r="J42" s="775"/>
      <c r="K42" s="775"/>
    </row>
    <row r="43" spans="2:13">
      <c r="B43" s="783" t="s">
        <v>439</v>
      </c>
      <c r="C43" s="211"/>
      <c r="D43" s="211"/>
      <c r="E43" s="211"/>
      <c r="F43" s="211"/>
      <c r="G43" s="211"/>
      <c r="H43" s="211"/>
      <c r="I43" s="211"/>
      <c r="J43" s="211"/>
      <c r="K43" s="211"/>
    </row>
    <row r="44" spans="2:13">
      <c r="B44" s="369" t="s">
        <v>429</v>
      </c>
      <c r="C44" s="432"/>
      <c r="D44" s="432"/>
      <c r="E44" s="432"/>
      <c r="F44" s="432"/>
      <c r="G44" s="432"/>
      <c r="H44" s="432"/>
      <c r="I44" s="432"/>
      <c r="J44" s="432"/>
      <c r="K44" s="432"/>
      <c r="L44" s="432"/>
      <c r="M44" s="432"/>
    </row>
    <row r="46" spans="2:13" ht="12.75" customHeight="1">
      <c r="B46" s="214" t="s">
        <v>112</v>
      </c>
      <c r="C46" s="156" t="s">
        <v>7</v>
      </c>
      <c r="D46" s="837">
        <f>'RFPR cover'!$C$12</f>
        <v>0.65</v>
      </c>
      <c r="E46" s="838">
        <f>'RFPR cover'!$C$12</f>
        <v>0.65</v>
      </c>
      <c r="F46" s="838">
        <f>'RFPR cover'!$C$12</f>
        <v>0.65</v>
      </c>
      <c r="G46" s="838">
        <f>'RFPR cover'!$C$12</f>
        <v>0.65</v>
      </c>
      <c r="H46" s="838">
        <f>'RFPR cover'!$C$12</f>
        <v>0.65</v>
      </c>
      <c r="I46" s="838">
        <f>'RFPR cover'!$C$12</f>
        <v>0.65</v>
      </c>
      <c r="J46" s="838">
        <f>'RFPR cover'!$C$12</f>
        <v>0.65</v>
      </c>
      <c r="K46" s="839">
        <f>'RFPR cover'!$C$12</f>
        <v>0.65</v>
      </c>
    </row>
    <row r="47" spans="2:13" ht="12.75" customHeight="1">
      <c r="B47" s="214" t="s">
        <v>391</v>
      </c>
      <c r="C47" s="156" t="s">
        <v>7</v>
      </c>
      <c r="D47" s="837">
        <f>'R8 - Net Debt'!D57</f>
        <v>0.62520388021837014</v>
      </c>
      <c r="E47" s="838">
        <f>'R8 - Net Debt'!E57</f>
        <v>0.61519194933461074</v>
      </c>
      <c r="F47" s="838">
        <f>'R8 - Net Debt'!F57</f>
        <v>0.61780165382103691</v>
      </c>
      <c r="G47" s="838">
        <f>'R8 - Net Debt'!G57</f>
        <v>0.61818226818390132</v>
      </c>
      <c r="H47" s="838">
        <f>'R8 - Net Debt'!H57</f>
        <v>0.62202839504683105</v>
      </c>
      <c r="I47" s="838">
        <f>'R8 - Net Debt'!I57</f>
        <v>0.6331609502004143</v>
      </c>
      <c r="J47" s="838">
        <f>'R8 - Net Debt'!J57</f>
        <v>0.60746768015373898</v>
      </c>
      <c r="K47" s="839">
        <f>'R8 - Net Debt'!K57</f>
        <v>0.61079328121544707</v>
      </c>
    </row>
    <row r="48" spans="2:13" ht="12.75" customHeight="1">
      <c r="B48" s="214"/>
      <c r="C48" s="156"/>
      <c r="D48" s="156"/>
      <c r="E48" s="156"/>
      <c r="F48" s="156"/>
      <c r="G48" s="156"/>
      <c r="H48" s="156"/>
      <c r="I48" s="156"/>
      <c r="J48" s="156"/>
      <c r="K48" s="156"/>
      <c r="L48" s="156"/>
    </row>
    <row r="49" spans="2:14" ht="12.75" customHeight="1">
      <c r="B49" s="775" t="s">
        <v>459</v>
      </c>
      <c r="C49" s="267" t="s">
        <v>125</v>
      </c>
      <c r="D49" s="992">
        <f>D37</f>
        <v>11.292772347257355</v>
      </c>
      <c r="E49" s="993">
        <f t="shared" ref="E49:K49" si="5">E37</f>
        <v>13.129895841916028</v>
      </c>
      <c r="F49" s="993">
        <f t="shared" si="5"/>
        <v>14.085884612826156</v>
      </c>
      <c r="G49" s="993">
        <f t="shared" si="5"/>
        <v>12.41570370701705</v>
      </c>
      <c r="H49" s="993">
        <f t="shared" si="5"/>
        <v>14.042764694463306</v>
      </c>
      <c r="I49" s="993">
        <f t="shared" si="5"/>
        <v>15.14305907588019</v>
      </c>
      <c r="J49" s="993">
        <f t="shared" si="5"/>
        <v>13.468639485781107</v>
      </c>
      <c r="K49" s="994">
        <f t="shared" si="5"/>
        <v>5.4604632203621613</v>
      </c>
    </row>
    <row r="50" spans="2:14">
      <c r="B50" s="214" t="s">
        <v>440</v>
      </c>
      <c r="C50" s="267" t="s">
        <v>125</v>
      </c>
      <c r="D50" s="995">
        <f>D85-D87</f>
        <v>-0.25908925982618758</v>
      </c>
      <c r="E50" s="996">
        <f t="shared" ref="E50:K50" si="6">E85-E87</f>
        <v>-0.19969804331960272</v>
      </c>
      <c r="F50" s="996">
        <f t="shared" si="6"/>
        <v>3.1675240577279773E-2</v>
      </c>
      <c r="G50" s="996">
        <f t="shared" si="6"/>
        <v>-2.8719440283662578E-2</v>
      </c>
      <c r="H50" s="996">
        <f t="shared" si="6"/>
        <v>-8.0391928278559899E-2</v>
      </c>
      <c r="I50" s="996">
        <f t="shared" si="6"/>
        <v>-0.10833638961963832</v>
      </c>
      <c r="J50" s="996">
        <f t="shared" si="6"/>
        <v>0.53354535087541954</v>
      </c>
      <c r="K50" s="997">
        <f t="shared" si="6"/>
        <v>0.84251353388449601</v>
      </c>
      <c r="L50" s="267"/>
    </row>
    <row r="51" spans="2:14" s="31" customFormat="1">
      <c r="B51" s="784" t="s">
        <v>399</v>
      </c>
      <c r="C51" s="267" t="s">
        <v>125</v>
      </c>
      <c r="D51" s="989">
        <f>SUM(D49:D50)</f>
        <v>11.033683087431168</v>
      </c>
      <c r="E51" s="990">
        <f t="shared" ref="E51:K51" si="7">SUM(E49:E50)</f>
        <v>12.930197798596424</v>
      </c>
      <c r="F51" s="990">
        <f t="shared" si="7"/>
        <v>14.117559853403435</v>
      </c>
      <c r="G51" s="990">
        <f t="shared" si="7"/>
        <v>12.386984266733387</v>
      </c>
      <c r="H51" s="990">
        <f t="shared" si="7"/>
        <v>13.962372766184746</v>
      </c>
      <c r="I51" s="990">
        <f t="shared" si="7"/>
        <v>15.034722686260551</v>
      </c>
      <c r="J51" s="990">
        <f t="shared" si="7"/>
        <v>14.002184836656527</v>
      </c>
      <c r="K51" s="991">
        <f t="shared" si="7"/>
        <v>6.3029767542466573</v>
      </c>
      <c r="L51" s="762"/>
    </row>
    <row r="53" spans="2:14">
      <c r="B53" s="784" t="s">
        <v>399</v>
      </c>
      <c r="C53" s="397" t="str">
        <f>'RFPR cover'!$C$14</f>
        <v>£m 12/13</v>
      </c>
      <c r="D53" s="705">
        <f>D51/D39</f>
        <v>10.40602548410272</v>
      </c>
      <c r="E53" s="706">
        <f t="shared" ref="E53:K53" si="8">E51/E39</f>
        <v>11.938836441747599</v>
      </c>
      <c r="F53" s="706">
        <f t="shared" si="8"/>
        <v>12.564981583407851</v>
      </c>
      <c r="G53" s="706">
        <f t="shared" si="8"/>
        <v>10.697846073753624</v>
      </c>
      <c r="H53" s="706">
        <f t="shared" si="8"/>
        <v>11.754128985371187</v>
      </c>
      <c r="I53" s="706">
        <f t="shared" si="8"/>
        <v>12.505226424682606</v>
      </c>
      <c r="J53" s="706">
        <f t="shared" si="8"/>
        <v>11.010422051717303</v>
      </c>
      <c r="K53" s="707">
        <f t="shared" si="8"/>
        <v>4.5764150925507803</v>
      </c>
    </row>
    <row r="54" spans="2:14">
      <c r="B54" s="784"/>
      <c r="C54" s="397"/>
      <c r="D54" s="397"/>
      <c r="E54" s="397"/>
      <c r="F54" s="397"/>
      <c r="G54" s="397"/>
      <c r="H54" s="397"/>
      <c r="I54" s="397"/>
      <c r="J54" s="397"/>
      <c r="K54" s="397"/>
    </row>
    <row r="56" spans="2:14">
      <c r="B56" s="745" t="s">
        <v>369</v>
      </c>
      <c r="C56" s="746"/>
      <c r="D56" s="746"/>
      <c r="E56" s="746"/>
      <c r="F56" s="746"/>
      <c r="G56" s="746"/>
      <c r="H56" s="746"/>
      <c r="I56" s="746"/>
      <c r="J56" s="746"/>
      <c r="K56" s="746"/>
      <c r="L56" s="746"/>
      <c r="M56" s="487"/>
    </row>
    <row r="57" spans="2:14" s="31" customFormat="1">
      <c r="B57" s="488"/>
      <c r="C57" s="487"/>
      <c r="D57" s="487"/>
      <c r="E57" s="487"/>
      <c r="F57" s="487"/>
      <c r="G57" s="487"/>
      <c r="H57" s="487"/>
      <c r="I57" s="487"/>
      <c r="J57" s="487"/>
      <c r="K57" s="487"/>
      <c r="L57" s="487"/>
      <c r="M57" s="487"/>
    </row>
    <row r="58" spans="2:14">
      <c r="B58" s="368" t="s">
        <v>460</v>
      </c>
      <c r="C58" s="294"/>
      <c r="D58" s="294"/>
      <c r="E58" s="294"/>
      <c r="F58" s="294"/>
      <c r="G58" s="294"/>
      <c r="H58" s="294"/>
      <c r="I58" s="294"/>
      <c r="J58" s="294"/>
      <c r="K58" s="294"/>
      <c r="L58" s="294"/>
      <c r="M58" s="201"/>
      <c r="N58" s="201"/>
    </row>
    <row r="59" spans="2:14" s="31" customFormat="1">
      <c r="B59" s="373"/>
      <c r="C59" s="35"/>
      <c r="D59" s="35"/>
      <c r="E59" s="35"/>
      <c r="F59" s="35"/>
      <c r="G59" s="35"/>
      <c r="H59" s="35"/>
      <c r="I59" s="35"/>
      <c r="J59" s="35"/>
      <c r="K59" s="35"/>
      <c r="L59" s="35"/>
      <c r="M59" s="37"/>
      <c r="N59" s="37"/>
    </row>
    <row r="60" spans="2:14">
      <c r="B60" s="201" t="s">
        <v>368</v>
      </c>
      <c r="C60" s="211" t="str">
        <f>'RFPR cover'!$C$14</f>
        <v>£m 12/13</v>
      </c>
      <c r="D60" s="590">
        <v>9.7802188066864275</v>
      </c>
      <c r="E60" s="591">
        <v>9.1601838242135294</v>
      </c>
      <c r="F60" s="591">
        <v>8.7875331994487755</v>
      </c>
      <c r="G60" s="591">
        <v>7.986678503467914</v>
      </c>
      <c r="H60" s="591">
        <v>8.0895029991779754</v>
      </c>
      <c r="I60" s="591">
        <v>7.8586171055595715</v>
      </c>
      <c r="J60" s="591">
        <v>10.502022914378392</v>
      </c>
      <c r="K60" s="600">
        <v>10.964960249096364</v>
      </c>
    </row>
    <row r="61" spans="2:14">
      <c r="B61" s="201" t="s">
        <v>371</v>
      </c>
      <c r="C61" s="211" t="str">
        <f>'RFPR cover'!$C$14</f>
        <v>£m 12/13</v>
      </c>
      <c r="D61" s="922">
        <v>0</v>
      </c>
      <c r="E61" s="923">
        <v>0</v>
      </c>
      <c r="F61" s="923">
        <v>0</v>
      </c>
      <c r="G61" s="923">
        <v>0</v>
      </c>
      <c r="H61" s="923">
        <v>3.6030717316924772</v>
      </c>
      <c r="I61" s="923">
        <v>3.3760813028320458</v>
      </c>
      <c r="J61" s="923">
        <v>-0.65565674001982188</v>
      </c>
      <c r="K61" s="610">
        <v>-3.7775243321764655</v>
      </c>
    </row>
    <row r="62" spans="2:14">
      <c r="B62" s="201" t="s">
        <v>372</v>
      </c>
      <c r="C62" s="211" t="str">
        <f>'RFPR cover'!$C$14</f>
        <v>£m 12/13</v>
      </c>
      <c r="D62" s="622">
        <f t="shared" ref="D62:K62" si="9">SUM(D60:D61)</f>
        <v>9.7802188066864275</v>
      </c>
      <c r="E62" s="623">
        <f t="shared" si="9"/>
        <v>9.1601838242135294</v>
      </c>
      <c r="F62" s="623">
        <f t="shared" si="9"/>
        <v>8.7875331994487755</v>
      </c>
      <c r="G62" s="623">
        <f t="shared" si="9"/>
        <v>7.986678503467914</v>
      </c>
      <c r="H62" s="623">
        <f t="shared" si="9"/>
        <v>11.692574730870453</v>
      </c>
      <c r="I62" s="623">
        <f t="shared" si="9"/>
        <v>11.234698408391617</v>
      </c>
      <c r="J62" s="623">
        <f t="shared" si="9"/>
        <v>9.84636617435857</v>
      </c>
      <c r="K62" s="624">
        <f t="shared" si="9"/>
        <v>7.1874359169198989</v>
      </c>
    </row>
    <row r="63" spans="2:14">
      <c r="B63" s="201"/>
      <c r="C63" s="211"/>
      <c r="D63" s="211"/>
      <c r="E63" s="211"/>
      <c r="F63" s="211"/>
      <c r="G63" s="211"/>
      <c r="H63" s="211"/>
      <c r="I63" s="211"/>
      <c r="J63" s="211"/>
      <c r="K63" s="211"/>
      <c r="L63" s="211"/>
    </row>
    <row r="64" spans="2:14">
      <c r="B64" s="509" t="s">
        <v>461</v>
      </c>
      <c r="C64" s="294"/>
      <c r="D64" s="294"/>
      <c r="E64" s="294"/>
      <c r="F64" s="294"/>
      <c r="G64" s="294"/>
      <c r="H64" s="294"/>
      <c r="I64" s="294"/>
      <c r="J64" s="294"/>
      <c r="K64" s="294"/>
      <c r="L64" s="294"/>
    </row>
    <row r="65" spans="2:13" s="31" customFormat="1">
      <c r="B65" s="510"/>
      <c r="C65" s="35"/>
      <c r="D65" s="35"/>
      <c r="E65" s="35"/>
      <c r="F65" s="35"/>
      <c r="G65" s="35"/>
      <c r="H65" s="35"/>
      <c r="I65" s="35"/>
      <c r="J65" s="35"/>
      <c r="K65" s="35"/>
      <c r="L65" s="35"/>
    </row>
    <row r="66" spans="2:13">
      <c r="B66" s="201" t="s">
        <v>359</v>
      </c>
      <c r="C66" s="211" t="str">
        <f>'RFPR cover'!$C$14</f>
        <v>£m 12/13</v>
      </c>
      <c r="D66" s="590">
        <v>9.1001475450509233</v>
      </c>
      <c r="E66" s="591">
        <v>8.7019964720780294</v>
      </c>
      <c r="F66" s="591">
        <v>8.2214633579157947</v>
      </c>
      <c r="G66" s="591">
        <v>8.2498874368407549</v>
      </c>
      <c r="H66" s="591">
        <v>8.2359876885567402</v>
      </c>
      <c r="I66" s="591">
        <v>8.2458576065635114</v>
      </c>
      <c r="J66" s="591">
        <v>8.0100283021732821</v>
      </c>
      <c r="K66" s="600">
        <v>8.6000950733578971</v>
      </c>
    </row>
    <row r="67" spans="2:13">
      <c r="B67" s="201" t="s">
        <v>374</v>
      </c>
      <c r="C67" s="211" t="str">
        <f>'RFPR cover'!$C$14</f>
        <v>£m 12/13</v>
      </c>
      <c r="D67" s="922">
        <v>0</v>
      </c>
      <c r="E67" s="923">
        <v>0</v>
      </c>
      <c r="F67" s="923">
        <v>0</v>
      </c>
      <c r="G67" s="923">
        <v>0</v>
      </c>
      <c r="H67" s="923">
        <v>3.5940294669160231</v>
      </c>
      <c r="I67" s="923">
        <v>3.3520580237645685</v>
      </c>
      <c r="J67" s="923">
        <v>-0.49221004133873691</v>
      </c>
      <c r="K67" s="610">
        <v>-3.5301678012213724</v>
      </c>
    </row>
    <row r="68" spans="2:13">
      <c r="B68" s="14" t="s">
        <v>375</v>
      </c>
      <c r="C68" s="211" t="str">
        <f>'RFPR cover'!$C$14</f>
        <v>£m 12/13</v>
      </c>
      <c r="D68" s="602">
        <f t="shared" ref="D68:K68" si="10">SUM(D66:D67)</f>
        <v>9.1001475450509233</v>
      </c>
      <c r="E68" s="603">
        <f t="shared" si="10"/>
        <v>8.7019964720780294</v>
      </c>
      <c r="F68" s="603">
        <f t="shared" si="10"/>
        <v>8.2214633579157947</v>
      </c>
      <c r="G68" s="603">
        <f t="shared" si="10"/>
        <v>8.2498874368407549</v>
      </c>
      <c r="H68" s="603">
        <f t="shared" si="10"/>
        <v>11.830017155472763</v>
      </c>
      <c r="I68" s="603">
        <f t="shared" si="10"/>
        <v>11.59791563032808</v>
      </c>
      <c r="J68" s="603">
        <f t="shared" si="10"/>
        <v>7.5178182608345452</v>
      </c>
      <c r="K68" s="604">
        <f t="shared" si="10"/>
        <v>5.0699272721365247</v>
      </c>
    </row>
    <row r="69" spans="2:13" s="31" customFormat="1">
      <c r="B69" s="510"/>
      <c r="C69" s="35"/>
      <c r="D69" s="708"/>
      <c r="E69" s="708"/>
      <c r="F69" s="708"/>
      <c r="G69" s="708"/>
      <c r="H69" s="708"/>
      <c r="I69" s="708"/>
      <c r="J69" s="708"/>
      <c r="K69" s="708"/>
      <c r="L69" s="35"/>
    </row>
    <row r="70" spans="2:13" s="31" customFormat="1">
      <c r="B70" s="511" t="s">
        <v>373</v>
      </c>
      <c r="C70" s="35"/>
      <c r="D70" s="669">
        <f t="shared" ref="D70:K70" si="11">D68-D62</f>
        <v>-0.68007126163550424</v>
      </c>
      <c r="E70" s="670">
        <f t="shared" si="11"/>
        <v>-0.45818735213549999</v>
      </c>
      <c r="F70" s="670">
        <f t="shared" si="11"/>
        <v>-0.56606984153298079</v>
      </c>
      <c r="G70" s="670">
        <f t="shared" si="11"/>
        <v>0.2632089333728409</v>
      </c>
      <c r="H70" s="670">
        <f t="shared" si="11"/>
        <v>0.13744242460231071</v>
      </c>
      <c r="I70" s="670">
        <f t="shared" si="11"/>
        <v>0.36321722193646266</v>
      </c>
      <c r="J70" s="670">
        <f t="shared" si="11"/>
        <v>-2.3285479135240248</v>
      </c>
      <c r="K70" s="671">
        <f t="shared" si="11"/>
        <v>-2.1175086447833742</v>
      </c>
      <c r="L70" s="35"/>
    </row>
    <row r="71" spans="2:13">
      <c r="B71" s="201" t="s">
        <v>370</v>
      </c>
      <c r="C71" s="211" t="str">
        <f>'RFPR cover'!$C$14</f>
        <v>£m 12/13</v>
      </c>
      <c r="D71" s="590">
        <v>0</v>
      </c>
      <c r="E71" s="591">
        <v>0</v>
      </c>
      <c r="F71" s="591">
        <v>0</v>
      </c>
      <c r="G71" s="591">
        <v>0</v>
      </c>
      <c r="H71" s="591">
        <v>0</v>
      </c>
      <c r="I71" s="591">
        <v>0</v>
      </c>
      <c r="J71" s="591">
        <v>0</v>
      </c>
      <c r="K71" s="600">
        <v>0</v>
      </c>
    </row>
    <row r="72" spans="2:13">
      <c r="B72" s="201" t="s">
        <v>417</v>
      </c>
      <c r="C72" s="211" t="str">
        <f>'RFPR cover'!$C$14</f>
        <v>£m 12/13</v>
      </c>
      <c r="D72" s="592">
        <v>0</v>
      </c>
      <c r="E72" s="593">
        <v>0</v>
      </c>
      <c r="F72" s="593">
        <v>0</v>
      </c>
      <c r="G72" s="593">
        <v>0</v>
      </c>
      <c r="H72" s="593">
        <v>0</v>
      </c>
      <c r="I72" s="593">
        <v>0</v>
      </c>
      <c r="J72" s="593">
        <v>0</v>
      </c>
      <c r="K72" s="601">
        <v>0</v>
      </c>
    </row>
    <row r="73" spans="2:13">
      <c r="B73" s="201" t="s">
        <v>325</v>
      </c>
      <c r="C73" s="211" t="str">
        <f>'RFPR cover'!$C$14</f>
        <v>£m 12/13</v>
      </c>
      <c r="D73" s="922">
        <v>-0.68007126163550424</v>
      </c>
      <c r="E73" s="923">
        <v>-0.45818735213549999</v>
      </c>
      <c r="F73" s="923">
        <v>-0.56606984153298079</v>
      </c>
      <c r="G73" s="923">
        <v>0.2632089333728409</v>
      </c>
      <c r="H73" s="923">
        <v>0.13744242460231071</v>
      </c>
      <c r="I73" s="923">
        <v>0.36321722193646266</v>
      </c>
      <c r="J73" s="923">
        <v>-2.3285479135240248</v>
      </c>
      <c r="K73" s="610">
        <v>-2.1175086447833742</v>
      </c>
    </row>
    <row r="74" spans="2:13">
      <c r="B74" s="201" t="s">
        <v>119</v>
      </c>
      <c r="C74" s="211" t="str">
        <f>'RFPR cover'!$C$14</f>
        <v>£m 12/13</v>
      </c>
      <c r="D74" s="512" t="str">
        <f>IF(ABS(D70-SUM(D71:D73))&lt;'RFPR cover'!$F$14,"OK","ERROR")</f>
        <v>OK</v>
      </c>
      <c r="E74" s="513" t="str">
        <f>IF(ABS(E70-SUM(E71:E73))&lt;'RFPR cover'!$F$14,"OK","ERROR")</f>
        <v>OK</v>
      </c>
      <c r="F74" s="513" t="str">
        <f>IF(ABS(F70-SUM(F71:F73))&lt;'RFPR cover'!$F$14,"OK","ERROR")</f>
        <v>OK</v>
      </c>
      <c r="G74" s="513" t="str">
        <f>IF(ABS(G70-SUM(G71:G73))&lt;'RFPR cover'!$F$14,"OK","ERROR")</f>
        <v>OK</v>
      </c>
      <c r="H74" s="513" t="str">
        <f>IF(ABS(H70-SUM(H71:H73))&lt;'RFPR cover'!$F$14,"OK","ERROR")</f>
        <v>OK</v>
      </c>
      <c r="I74" s="513" t="str">
        <f>IF(ABS(I70-SUM(I71:I73))&lt;'RFPR cover'!$F$14,"OK","ERROR")</f>
        <v>OK</v>
      </c>
      <c r="J74" s="513" t="str">
        <f>IF(ABS(J70-SUM(J71:J73))&lt;'RFPR cover'!$F$14,"OK","ERROR")</f>
        <v>OK</v>
      </c>
      <c r="K74" s="514" t="str">
        <f>IF(ABS(K70-SUM(K71:K73))&lt;'RFPR cover'!$F$14,"OK","ERROR")</f>
        <v>OK</v>
      </c>
    </row>
    <row r="75" spans="2:13">
      <c r="B75" s="201"/>
      <c r="C75" s="201"/>
      <c r="D75" s="201"/>
      <c r="E75" s="201"/>
      <c r="F75" s="201"/>
      <c r="G75" s="201"/>
      <c r="H75" s="201"/>
      <c r="I75" s="201"/>
      <c r="J75" s="201"/>
      <c r="K75" s="201"/>
      <c r="L75" s="201"/>
      <c r="M75" s="201"/>
    </row>
    <row r="77" spans="2:13">
      <c r="B77" s="788" t="s">
        <v>419</v>
      </c>
      <c r="C77" s="788"/>
      <c r="D77" s="788"/>
      <c r="E77" s="788"/>
      <c r="F77" s="788"/>
      <c r="G77" s="788"/>
      <c r="H77" s="788"/>
      <c r="I77" s="788"/>
      <c r="J77" s="788"/>
      <c r="K77" s="788"/>
      <c r="L77" s="788"/>
    </row>
    <row r="79" spans="2:13">
      <c r="B79" s="14" t="s">
        <v>420</v>
      </c>
      <c r="C79" s="212" t="str">
        <f>'RFPR cover'!$C$14</f>
        <v>£m 12/13</v>
      </c>
      <c r="D79" s="602">
        <f t="shared" ref="D79:K79" si="12">D$68-D41</f>
        <v>-1.5502287527415444</v>
      </c>
      <c r="E79" s="603">
        <f t="shared" si="12"/>
        <v>-3.4212271162597467</v>
      </c>
      <c r="F79" s="603">
        <f t="shared" si="12"/>
        <v>-4.3153264686561492</v>
      </c>
      <c r="G79" s="603">
        <f t="shared" si="12"/>
        <v>-2.4727617806695061</v>
      </c>
      <c r="H79" s="603">
        <f>H$68-H41</f>
        <v>8.2107695484658905E-3</v>
      </c>
      <c r="I79" s="603">
        <f t="shared" si="12"/>
        <v>-0.99742027695005575</v>
      </c>
      <c r="J79" s="603">
        <f t="shared" si="12"/>
        <v>-3.0730578724850179</v>
      </c>
      <c r="K79" s="604">
        <f t="shared" si="12"/>
        <v>1.1052376868311131</v>
      </c>
    </row>
    <row r="80" spans="2:13">
      <c r="B80" s="14"/>
      <c r="C80" s="14"/>
      <c r="D80" s="14"/>
      <c r="E80" s="14"/>
      <c r="F80" s="14"/>
      <c r="G80" s="14"/>
      <c r="H80" s="14"/>
      <c r="I80" s="14"/>
      <c r="J80" s="14"/>
      <c r="K80" s="14"/>
    </row>
    <row r="81" spans="2:11">
      <c r="B81" s="14" t="s">
        <v>431</v>
      </c>
      <c r="C81" s="212" t="str">
        <f>'RFPR cover'!$C$14</f>
        <v>£m 12/13</v>
      </c>
      <c r="D81" s="602">
        <f t="shared" ref="D81:K81" si="13">D$68-D53</f>
        <v>-1.3058779390517969</v>
      </c>
      <c r="E81" s="603">
        <f t="shared" si="13"/>
        <v>-3.2368399696695693</v>
      </c>
      <c r="F81" s="603">
        <f t="shared" si="13"/>
        <v>-4.3435182254920566</v>
      </c>
      <c r="G81" s="603">
        <f t="shared" si="13"/>
        <v>-2.447958636912869</v>
      </c>
      <c r="H81" s="603">
        <f>H$68-H53</f>
        <v>7.5888170101576335E-2</v>
      </c>
      <c r="I81" s="603">
        <f t="shared" si="13"/>
        <v>-0.907310794354526</v>
      </c>
      <c r="J81" s="603">
        <f t="shared" si="13"/>
        <v>-3.4926037908827574</v>
      </c>
      <c r="K81" s="604">
        <f t="shared" si="13"/>
        <v>0.49351217958574445</v>
      </c>
    </row>
    <row r="83" spans="2:11">
      <c r="B83" s="14" t="s">
        <v>430</v>
      </c>
      <c r="C83" s="212" t="str">
        <f>'RFPR cover'!$C$14</f>
        <v>£m 12/13</v>
      </c>
      <c r="D83" s="602">
        <f>D79-D81</f>
        <v>-0.24435081368974743</v>
      </c>
      <c r="E83" s="603">
        <f t="shared" ref="E83:K83" si="14">E79-E81</f>
        <v>-0.18438714659017741</v>
      </c>
      <c r="F83" s="603">
        <f t="shared" si="14"/>
        <v>2.8191756835907356E-2</v>
      </c>
      <c r="G83" s="603">
        <f t="shared" si="14"/>
        <v>-2.4803143756637169E-2</v>
      </c>
      <c r="H83" s="603">
        <f t="shared" si="14"/>
        <v>-6.7677400553110445E-2</v>
      </c>
      <c r="I83" s="603">
        <f t="shared" si="14"/>
        <v>-9.0109482595529755E-2</v>
      </c>
      <c r="J83" s="603">
        <f t="shared" si="14"/>
        <v>0.41954591839773947</v>
      </c>
      <c r="K83" s="604">
        <f t="shared" si="14"/>
        <v>0.61172550724536867</v>
      </c>
    </row>
    <row r="85" spans="2:11">
      <c r="B85" t="s">
        <v>510</v>
      </c>
      <c r="C85" s="267" t="s">
        <v>125</v>
      </c>
      <c r="D85" s="590">
        <v>0.4779115721774696</v>
      </c>
      <c r="E85" s="591">
        <v>-1.8708624368172249</v>
      </c>
      <c r="F85" s="591">
        <v>-5.7132862581283135</v>
      </c>
      <c r="G85" s="591">
        <v>-4.3223824866045453</v>
      </c>
      <c r="H85" s="591">
        <v>-2.703671036333648</v>
      </c>
      <c r="I85" s="591">
        <v>-0.148836407561455</v>
      </c>
      <c r="J85" s="591">
        <v>-11.711433073325287</v>
      </c>
      <c r="K85" s="600">
        <v>-17.163598472147395</v>
      </c>
    </row>
    <row r="86" spans="2:11">
      <c r="B86" t="s">
        <v>510</v>
      </c>
      <c r="C86" s="397" t="str">
        <f>'RFPR cover'!$C$14</f>
        <v>£m 12/13</v>
      </c>
      <c r="D86" s="995">
        <f>D85/D$39</f>
        <v>0.4507252890824312</v>
      </c>
      <c r="E86" s="996">
        <f t="shared" ref="E86:K86" si="15">E85/E$39</f>
        <v>-1.7274229664603251</v>
      </c>
      <c r="F86" s="996">
        <f t="shared" si="15"/>
        <v>-5.0849677536031876</v>
      </c>
      <c r="G86" s="996">
        <f t="shared" si="15"/>
        <v>-3.7329653059919492</v>
      </c>
      <c r="H86" s="996">
        <f t="shared" si="15"/>
        <v>-2.2760671575853983</v>
      </c>
      <c r="I86" s="996">
        <f t="shared" si="15"/>
        <v>-0.12379563066322606</v>
      </c>
      <c r="J86" s="996">
        <f t="shared" si="15"/>
        <v>-9.2091214672568569</v>
      </c>
      <c r="K86" s="997">
        <f t="shared" si="15"/>
        <v>-12.462008690972082</v>
      </c>
    </row>
    <row r="87" spans="2:11">
      <c r="B87" t="s">
        <v>511</v>
      </c>
      <c r="C87" s="267" t="s">
        <v>125</v>
      </c>
      <c r="D87" s="592">
        <v>0.73700083200365718</v>
      </c>
      <c r="E87" s="593">
        <v>-1.6711643934976221</v>
      </c>
      <c r="F87" s="593">
        <v>-5.7449614987055933</v>
      </c>
      <c r="G87" s="593">
        <v>-4.2936630463208827</v>
      </c>
      <c r="H87" s="593">
        <v>-2.6232791080550881</v>
      </c>
      <c r="I87" s="593">
        <v>-4.0500017941816679E-2</v>
      </c>
      <c r="J87" s="593">
        <v>-12.244978424200706</v>
      </c>
      <c r="K87" s="601">
        <v>-18.006112006031891</v>
      </c>
    </row>
    <row r="88" spans="2:11">
      <c r="B88" t="s">
        <v>511</v>
      </c>
      <c r="C88" s="397" t="str">
        <f>'RFPR cover'!$C$14</f>
        <v>£m 12/13</v>
      </c>
      <c r="D88" s="995">
        <f t="shared" ref="D88:K88" si="16">D87/D$39</f>
        <v>0.69507610277217946</v>
      </c>
      <c r="E88" s="996">
        <f t="shared" si="16"/>
        <v>-1.5430358198701495</v>
      </c>
      <c r="F88" s="996">
        <f t="shared" si="16"/>
        <v>-5.1131595104390968</v>
      </c>
      <c r="G88" s="996">
        <f t="shared" si="16"/>
        <v>-3.7081621622353129</v>
      </c>
      <c r="H88" s="996">
        <f t="shared" si="16"/>
        <v>-2.2083897570322897</v>
      </c>
      <c r="I88" s="996">
        <f t="shared" si="16"/>
        <v>-3.3686148067696299E-2</v>
      </c>
      <c r="J88" s="996">
        <f t="shared" si="16"/>
        <v>-9.6286673856545963</v>
      </c>
      <c r="K88" s="997">
        <f t="shared" si="16"/>
        <v>-13.07373419821745</v>
      </c>
    </row>
    <row r="89" spans="2:11">
      <c r="B89" t="s">
        <v>514</v>
      </c>
      <c r="C89" s="397" t="str">
        <f>'RFPR cover'!$C$14</f>
        <v>£m 12/13</v>
      </c>
      <c r="D89" s="998">
        <f>D86-D88</f>
        <v>-0.24435081368974826</v>
      </c>
      <c r="E89" s="999">
        <f t="shared" ref="E89:K89" si="17">E86-E88</f>
        <v>-0.18438714659017563</v>
      </c>
      <c r="F89" s="999">
        <f t="shared" si="17"/>
        <v>2.8191756835909132E-2</v>
      </c>
      <c r="G89" s="999">
        <f t="shared" si="17"/>
        <v>-2.4803143756636281E-2</v>
      </c>
      <c r="H89" s="999">
        <f t="shared" si="17"/>
        <v>-6.7677400553108669E-2</v>
      </c>
      <c r="I89" s="999">
        <f t="shared" si="17"/>
        <v>-9.0109482595529755E-2</v>
      </c>
      <c r="J89" s="999">
        <f t="shared" si="17"/>
        <v>0.41954591839773947</v>
      </c>
      <c r="K89" s="1000">
        <f t="shared" si="17"/>
        <v>0.61172550724536734</v>
      </c>
    </row>
  </sheetData>
  <conditionalFormatting sqref="D6:K7">
    <cfRule type="expression" dxfId="50" priority="77">
      <formula>AND(D$6="Actuals",E$6="Forecast")</formula>
    </cfRule>
  </conditionalFormatting>
  <conditionalFormatting sqref="D5:K5">
    <cfRule type="expression" dxfId="49" priority="52">
      <formula>AND(D$5="Actuals",E$5="Forecast")</formula>
    </cfRule>
  </conditionalFormatting>
  <conditionalFormatting sqref="D36:F36">
    <cfRule type="expression" dxfId="48" priority="20">
      <formula>AND(D$5="Actuals",E$5="Actuals")</formula>
    </cfRule>
  </conditionalFormatting>
  <conditionalFormatting sqref="D12:K12 D24:K33 D15:K19">
    <cfRule type="expression" dxfId="47" priority="19">
      <formula>NOT(AND(D$5="Actuals"))</formula>
    </cfRule>
  </conditionalFormatting>
  <conditionalFormatting sqref="G36">
    <cfRule type="expression" dxfId="46" priority="185">
      <formula>AND(E$5="Actuals",F$5="Actuals")</formula>
    </cfRule>
  </conditionalFormatting>
  <conditionalFormatting sqref="D60:K61">
    <cfRule type="expression" dxfId="45" priority="7">
      <formula>NOT(AND(D$5="Actuals"))</formula>
    </cfRule>
  </conditionalFormatting>
  <conditionalFormatting sqref="D66:K67">
    <cfRule type="expression" dxfId="44" priority="6">
      <formula>NOT(AND(D$5="Actuals"))</formula>
    </cfRule>
  </conditionalFormatting>
  <conditionalFormatting sqref="D71:K73">
    <cfRule type="expression" dxfId="43" priority="5">
      <formula>NOT(AND(D$5="Actuals"))</formula>
    </cfRule>
  </conditionalFormatting>
  <conditionalFormatting sqref="D85:K85">
    <cfRule type="expression" dxfId="42" priority="4">
      <formula>NOT(AND(D$5="Actuals"))</formula>
    </cfRule>
  </conditionalFormatting>
  <conditionalFormatting sqref="D87:K87">
    <cfRule type="expression" dxfId="41" priority="3">
      <formula>NOT(AND(D$5="Actuals"))</formula>
    </cfRule>
  </conditionalFormatting>
  <conditionalFormatting sqref="I36:K36">
    <cfRule type="expression" dxfId="40" priority="2">
      <formula>NOT(AND(I$5="Actuals"))</formula>
    </cfRule>
  </conditionalFormatting>
  <conditionalFormatting sqref="H36">
    <cfRule type="expression" dxfId="39" priority="1">
      <formula>AND(F$5="Actuals",G$5="Actuals")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7.375" customWidth="1"/>
    <col min="3" max="3" width="14.125" customWidth="1"/>
    <col min="4" max="11" width="11.125" customWidth="1"/>
    <col min="12" max="12" width="5" customWidth="1"/>
    <col min="17" max="17" width="13.125" customWidth="1"/>
  </cols>
  <sheetData>
    <row r="1" spans="1:18" s="31" customFormat="1" ht="20.25">
      <c r="A1" s="868" t="s">
        <v>253</v>
      </c>
      <c r="B1" s="879"/>
      <c r="C1" s="121"/>
      <c r="D1" s="121"/>
      <c r="E1" s="121"/>
      <c r="F1" s="121"/>
      <c r="G1" s="121"/>
      <c r="H1" s="121"/>
      <c r="I1" s="127"/>
      <c r="J1" s="127"/>
      <c r="K1" s="128"/>
      <c r="L1" s="129"/>
    </row>
    <row r="2" spans="1:18" s="31" customFormat="1" ht="20.25">
      <c r="A2" s="853" t="str">
        <f>'RFPR cover'!C5</f>
        <v>SPD</v>
      </c>
      <c r="B2" s="845"/>
      <c r="C2" s="29"/>
      <c r="D2" s="29"/>
      <c r="E2" s="29"/>
      <c r="F2" s="29"/>
      <c r="G2" s="29"/>
      <c r="H2" s="29"/>
      <c r="I2" s="27"/>
      <c r="J2" s="27"/>
      <c r="K2" s="27"/>
      <c r="L2" s="124"/>
    </row>
    <row r="3" spans="1:18" s="31" customFormat="1" ht="23.25">
      <c r="A3" s="870">
        <f>'RFPR cover'!C7</f>
        <v>2022</v>
      </c>
      <c r="B3" s="862" t="str">
        <f>'R1 - RoRE'!B3</f>
        <v/>
      </c>
      <c r="C3" s="125"/>
      <c r="D3" s="125"/>
      <c r="E3" s="125"/>
      <c r="F3" s="125"/>
      <c r="G3" s="125"/>
      <c r="H3" s="125"/>
      <c r="I3" s="28"/>
      <c r="J3" s="28"/>
      <c r="K3" s="28"/>
      <c r="L3" s="126"/>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223</v>
      </c>
      <c r="C8" s="153" t="s">
        <v>125</v>
      </c>
      <c r="D8" s="614">
        <v>65</v>
      </c>
      <c r="E8" s="615">
        <v>69</v>
      </c>
      <c r="F8" s="615">
        <v>94.3</v>
      </c>
      <c r="G8" s="615">
        <v>72</v>
      </c>
      <c r="H8" s="615">
        <v>95.6</v>
      </c>
      <c r="I8" s="615">
        <v>92.9</v>
      </c>
      <c r="J8" s="985">
        <v>100</v>
      </c>
      <c r="K8" s="616">
        <v>0</v>
      </c>
    </row>
    <row r="9" spans="1:18">
      <c r="B9" s="15" t="s">
        <v>102</v>
      </c>
      <c r="C9" s="14"/>
      <c r="D9" s="709"/>
      <c r="E9" s="709"/>
      <c r="F9" s="709"/>
      <c r="G9" s="709"/>
      <c r="H9" s="709"/>
      <c r="I9" s="709"/>
      <c r="J9" s="709"/>
      <c r="K9" s="709"/>
    </row>
    <row r="10" spans="1:18">
      <c r="B10" s="431" t="s">
        <v>586</v>
      </c>
      <c r="C10" s="153" t="s">
        <v>125</v>
      </c>
      <c r="D10" s="590">
        <v>0</v>
      </c>
      <c r="E10" s="591">
        <v>0</v>
      </c>
      <c r="F10" s="591">
        <v>0</v>
      </c>
      <c r="G10" s="591">
        <v>0</v>
      </c>
      <c r="H10" s="591">
        <v>0</v>
      </c>
      <c r="I10" s="591">
        <v>0</v>
      </c>
      <c r="J10" s="591">
        <v>0</v>
      </c>
      <c r="K10" s="600">
        <v>0</v>
      </c>
    </row>
    <row r="11" spans="1:18">
      <c r="B11" s="431" t="s">
        <v>586</v>
      </c>
      <c r="C11" s="153" t="s">
        <v>125</v>
      </c>
      <c r="D11" s="592">
        <v>0</v>
      </c>
      <c r="E11" s="593">
        <v>0</v>
      </c>
      <c r="F11" s="593">
        <v>0</v>
      </c>
      <c r="G11" s="593">
        <v>0</v>
      </c>
      <c r="H11" s="593">
        <v>0</v>
      </c>
      <c r="I11" s="593">
        <v>0</v>
      </c>
      <c r="J11" s="593">
        <v>0</v>
      </c>
      <c r="K11" s="601">
        <v>0</v>
      </c>
    </row>
    <row r="12" spans="1:18">
      <c r="B12" s="431" t="s">
        <v>590</v>
      </c>
      <c r="C12" s="153" t="s">
        <v>125</v>
      </c>
      <c r="D12" s="922">
        <v>0</v>
      </c>
      <c r="E12" s="923">
        <v>0</v>
      </c>
      <c r="F12" s="923">
        <v>0</v>
      </c>
      <c r="G12" s="923">
        <v>0</v>
      </c>
      <c r="H12" s="923">
        <v>0</v>
      </c>
      <c r="I12" s="923">
        <v>0</v>
      </c>
      <c r="J12" s="923">
        <v>0</v>
      </c>
      <c r="K12" s="610">
        <v>0</v>
      </c>
      <c r="Q12" s="217"/>
    </row>
    <row r="13" spans="1:18">
      <c r="B13" s="14" t="s">
        <v>103</v>
      </c>
      <c r="C13" s="153" t="s">
        <v>125</v>
      </c>
      <c r="D13" s="700">
        <f>D8-SUM(D10:D12)</f>
        <v>65</v>
      </c>
      <c r="E13" s="701">
        <f t="shared" ref="E13:K13" si="1">E8-SUM(E10:E12)</f>
        <v>69</v>
      </c>
      <c r="F13" s="701">
        <f t="shared" si="1"/>
        <v>94.3</v>
      </c>
      <c r="G13" s="701">
        <f t="shared" si="1"/>
        <v>72</v>
      </c>
      <c r="H13" s="701">
        <f t="shared" si="1"/>
        <v>95.6</v>
      </c>
      <c r="I13" s="701">
        <f t="shared" si="1"/>
        <v>92.9</v>
      </c>
      <c r="J13" s="701">
        <f t="shared" si="1"/>
        <v>100</v>
      </c>
      <c r="K13" s="702">
        <f t="shared" si="1"/>
        <v>0</v>
      </c>
      <c r="R13" s="216"/>
    </row>
    <row r="14" spans="1:18">
      <c r="C14" s="14"/>
      <c r="Q14" s="217"/>
    </row>
    <row r="15" spans="1:18">
      <c r="B15" s="14" t="s">
        <v>487</v>
      </c>
      <c r="C15" s="153" t="s">
        <v>125</v>
      </c>
      <c r="D15" s="614">
        <v>0</v>
      </c>
      <c r="E15" s="615">
        <v>0</v>
      </c>
      <c r="F15" s="615">
        <v>0</v>
      </c>
      <c r="G15" s="615">
        <v>0</v>
      </c>
      <c r="H15" s="615">
        <v>0</v>
      </c>
      <c r="I15" s="615">
        <v>0</v>
      </c>
      <c r="J15" s="615">
        <v>0</v>
      </c>
      <c r="K15" s="1001">
        <v>0</v>
      </c>
    </row>
  </sheetData>
  <conditionalFormatting sqref="D6:K6">
    <cfRule type="expression" dxfId="38" priority="11">
      <formula>AND(D$5="Actuals",E$5="N/A")</formula>
    </cfRule>
  </conditionalFormatting>
  <conditionalFormatting sqref="D5:K5">
    <cfRule type="expression" dxfId="37" priority="4">
      <formula>AND(D$5="Actuals",E$5="N/A")</formula>
    </cfRule>
  </conditionalFormatting>
  <conditionalFormatting sqref="D5:K6 D8:K8 D10:K13">
    <cfRule type="expression" dxfId="36" priority="3">
      <formula>D$5="N/A"</formula>
    </cfRule>
  </conditionalFormatting>
  <conditionalFormatting sqref="D15:K15">
    <cfRule type="expression" dxfId="35"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864" t="s">
        <v>252</v>
      </c>
      <c r="B1" s="860"/>
      <c r="C1" s="257"/>
      <c r="D1" s="257"/>
      <c r="E1" s="257"/>
      <c r="F1" s="257"/>
      <c r="G1" s="257"/>
      <c r="H1" s="257"/>
      <c r="I1" s="258"/>
      <c r="J1" s="258"/>
      <c r="K1" s="259"/>
      <c r="L1" s="260"/>
    </row>
    <row r="2" spans="1:12" s="31" customFormat="1" ht="20.25">
      <c r="A2" s="853" t="str">
        <f>'RFPR cover'!C5</f>
        <v>SPD</v>
      </c>
      <c r="B2" s="845"/>
      <c r="C2" s="29"/>
      <c r="D2" s="29"/>
      <c r="E2" s="29"/>
      <c r="F2" s="29"/>
      <c r="G2" s="29"/>
      <c r="H2" s="29"/>
      <c r="I2" s="27"/>
      <c r="J2" s="27"/>
      <c r="K2" s="27"/>
      <c r="L2" s="124"/>
    </row>
    <row r="3" spans="1:12" s="31" customFormat="1" ht="20.25">
      <c r="A3" s="856">
        <f>'RFPR cover'!C7</f>
        <v>2022</v>
      </c>
      <c r="B3" s="863"/>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383</v>
      </c>
      <c r="C8" s="153" t="s">
        <v>125</v>
      </c>
      <c r="D8" s="710">
        <v>27.46</v>
      </c>
      <c r="E8" s="1002">
        <v>27.679000000000002</v>
      </c>
      <c r="F8" s="1002">
        <v>25.605</v>
      </c>
      <c r="G8" s="1002">
        <v>26.602</v>
      </c>
      <c r="H8" s="1002">
        <v>27.480999999999998</v>
      </c>
      <c r="I8" s="1002">
        <v>26.248000000000001</v>
      </c>
      <c r="J8" s="1002">
        <v>26.545000000000002</v>
      </c>
      <c r="K8" s="711"/>
    </row>
    <row r="9" spans="1:12">
      <c r="B9" s="16" t="s">
        <v>22</v>
      </c>
      <c r="D9" s="709"/>
      <c r="E9" s="709"/>
      <c r="F9" s="709"/>
      <c r="G9" s="709"/>
      <c r="H9" s="709"/>
      <c r="I9" s="709"/>
      <c r="J9" s="709"/>
      <c r="K9" s="709"/>
    </row>
    <row r="10" spans="1:12">
      <c r="B10" t="s">
        <v>21</v>
      </c>
      <c r="C10" s="153" t="s">
        <v>125</v>
      </c>
      <c r="D10" s="1003">
        <v>26.071000000000002</v>
      </c>
      <c r="E10" s="1004">
        <v>26.28</v>
      </c>
      <c r="F10" s="1004">
        <v>22.216999999999999</v>
      </c>
      <c r="G10" s="1004">
        <v>23.082999999999998</v>
      </c>
      <c r="H10" s="1004">
        <v>23.844999999999999</v>
      </c>
      <c r="I10" s="1004">
        <v>21.457000000000001</v>
      </c>
      <c r="J10" s="1004">
        <v>21.699000000000002</v>
      </c>
      <c r="K10" s="650"/>
    </row>
    <row r="11" spans="1:12">
      <c r="B11" t="s">
        <v>23</v>
      </c>
      <c r="C11" s="153" t="s">
        <v>125</v>
      </c>
      <c r="D11" s="1005">
        <v>1.3889999999999998</v>
      </c>
      <c r="E11" s="1006">
        <v>1.399</v>
      </c>
      <c r="F11" s="1006">
        <v>3.3879999999999999</v>
      </c>
      <c r="G11" s="1006">
        <v>3.5190000000000001</v>
      </c>
      <c r="H11" s="1006">
        <v>3.6360000000000001</v>
      </c>
      <c r="I11" s="1006">
        <v>4.7910000000000004</v>
      </c>
      <c r="J11" s="1006">
        <v>4.8460000000000001</v>
      </c>
      <c r="K11" s="712"/>
    </row>
    <row r="12" spans="1:12">
      <c r="D12" s="709"/>
      <c r="E12" s="709"/>
      <c r="F12" s="709"/>
      <c r="G12" s="709"/>
      <c r="H12" s="709"/>
      <c r="I12" s="709"/>
      <c r="J12" s="709"/>
      <c r="K12" s="709"/>
    </row>
    <row r="13" spans="1:12">
      <c r="D13" s="709"/>
      <c r="E13" s="709"/>
      <c r="F13" s="709"/>
      <c r="G13" s="709"/>
      <c r="H13" s="709"/>
      <c r="I13" s="709"/>
      <c r="J13" s="709"/>
      <c r="K13" s="709"/>
    </row>
    <row r="14" spans="1:12">
      <c r="B14" t="s">
        <v>21</v>
      </c>
      <c r="C14" s="211" t="str">
        <f>'RFPR cover'!$C$14</f>
        <v>£m 12/13</v>
      </c>
      <c r="D14" s="103">
        <f>D10/Data!C$34</f>
        <v>24.587935709797907</v>
      </c>
      <c r="E14" s="104">
        <f>E10/Data!D$34</f>
        <v>24.265106116411062</v>
      </c>
      <c r="F14" s="104">
        <f>F10/Data!E$34</f>
        <v>19.773686014957732</v>
      </c>
      <c r="G14" s="104">
        <f>G10/Data!F$34</f>
        <v>19.93531077484575</v>
      </c>
      <c r="H14" s="104">
        <f>H10/Data!G$34</f>
        <v>20.073751814947599</v>
      </c>
      <c r="I14" s="104">
        <f>I10/Data!H$34</f>
        <v>17.846996515580734</v>
      </c>
      <c r="J14" s="104">
        <f>J10/Data!I$34</f>
        <v>17.062704919788963</v>
      </c>
      <c r="K14" s="1007">
        <f>K10/Data!J$34</f>
        <v>0</v>
      </c>
    </row>
    <row r="15" spans="1:12">
      <c r="D15" s="709"/>
      <c r="E15" s="709"/>
      <c r="F15" s="709"/>
      <c r="G15" s="709"/>
      <c r="H15" s="709"/>
      <c r="I15" s="709"/>
      <c r="J15" s="709"/>
      <c r="K15" s="709"/>
    </row>
    <row r="16" spans="1:12">
      <c r="D16" s="709"/>
      <c r="E16" s="709"/>
      <c r="F16" s="709"/>
      <c r="G16" s="709"/>
      <c r="H16" s="709"/>
      <c r="I16" s="709"/>
      <c r="J16" s="709"/>
      <c r="K16" s="709"/>
    </row>
    <row r="17" spans="2:11" s="2" customFormat="1">
      <c r="B17" s="14" t="s">
        <v>305</v>
      </c>
      <c r="C17" s="211" t="str">
        <f>'RFPR cover'!$C$14</f>
        <v>£m 12/13</v>
      </c>
      <c r="D17" s="1003">
        <v>28.1</v>
      </c>
      <c r="E17" s="1004">
        <v>28.1</v>
      </c>
      <c r="F17" s="1004">
        <v>28.1</v>
      </c>
      <c r="G17" s="1004">
        <v>28.5</v>
      </c>
      <c r="H17" s="1004">
        <v>28.5</v>
      </c>
      <c r="I17" s="1004">
        <v>28.5</v>
      </c>
      <c r="J17" s="1004">
        <v>24.7</v>
      </c>
      <c r="K17" s="650">
        <v>0</v>
      </c>
    </row>
    <row r="18" spans="2:11" s="2" customFormat="1">
      <c r="B18" s="201" t="s">
        <v>306</v>
      </c>
      <c r="C18" s="211" t="str">
        <f>'RFPR cover'!$C$14</f>
        <v>£m 12/13</v>
      </c>
      <c r="D18" s="1005">
        <v>2.9</v>
      </c>
      <c r="E18" s="1006">
        <v>2.9</v>
      </c>
      <c r="F18" s="1006">
        <v>2.9</v>
      </c>
      <c r="G18" s="1006">
        <v>3.3</v>
      </c>
      <c r="H18" s="1006">
        <v>3.3</v>
      </c>
      <c r="I18" s="1006">
        <v>3.3</v>
      </c>
      <c r="J18" s="1006">
        <v>-0.5</v>
      </c>
      <c r="K18" s="712">
        <v>0</v>
      </c>
    </row>
    <row r="19" spans="2:11" s="2" customFormat="1">
      <c r="B19" s="14" t="s">
        <v>307</v>
      </c>
      <c r="C19" s="211" t="str">
        <f>'RFPR cover'!$C$14</f>
        <v>£m 12/13</v>
      </c>
      <c r="D19" s="103">
        <f>D17-D18</f>
        <v>25.200000000000003</v>
      </c>
      <c r="E19" s="104">
        <f t="shared" ref="E19:K19" si="1">E17-E18</f>
        <v>25.200000000000003</v>
      </c>
      <c r="F19" s="104">
        <f t="shared" si="1"/>
        <v>25.200000000000003</v>
      </c>
      <c r="G19" s="104">
        <f t="shared" si="1"/>
        <v>25.2</v>
      </c>
      <c r="H19" s="104">
        <f t="shared" si="1"/>
        <v>25.2</v>
      </c>
      <c r="I19" s="104">
        <f t="shared" si="1"/>
        <v>25.2</v>
      </c>
      <c r="J19" s="104">
        <f t="shared" si="1"/>
        <v>25.2</v>
      </c>
      <c r="K19" s="105">
        <f t="shared" si="1"/>
        <v>0</v>
      </c>
    </row>
    <row r="20" spans="2:11" s="2" customFormat="1">
      <c r="B20" s="14"/>
      <c r="C20" s="14"/>
      <c r="D20" s="14"/>
      <c r="E20" s="14"/>
      <c r="F20" s="14"/>
      <c r="G20" s="14"/>
      <c r="H20" s="14"/>
      <c r="I20" s="14"/>
      <c r="J20" s="14"/>
      <c r="K20" s="14"/>
    </row>
    <row r="21" spans="2:11" s="2" customFormat="1">
      <c r="B21" s="14"/>
      <c r="C21" s="14"/>
      <c r="D21" s="1055" t="s">
        <v>115</v>
      </c>
      <c r="E21" s="14"/>
      <c r="F21" s="14"/>
      <c r="G21" s="14"/>
      <c r="H21" s="14"/>
      <c r="I21" s="14"/>
      <c r="J21" s="14"/>
      <c r="K21" s="14"/>
    </row>
    <row r="22" spans="2:11" s="2" customFormat="1" ht="12.75" customHeight="1">
      <c r="B22" s="14"/>
      <c r="C22" s="14"/>
      <c r="D22" s="1056"/>
      <c r="E22" s="14"/>
      <c r="F22" s="14"/>
      <c r="G22" s="14"/>
      <c r="H22" s="14"/>
      <c r="I22" s="14"/>
      <c r="J22" s="14"/>
      <c r="K22" s="14"/>
    </row>
    <row r="23" spans="2:11">
      <c r="C23" s="14"/>
      <c r="D23" s="1057"/>
      <c r="E23" s="14"/>
    </row>
    <row r="24" spans="2:11">
      <c r="B24" s="14" t="s">
        <v>114</v>
      </c>
      <c r="C24" s="14"/>
      <c r="D24" s="519">
        <v>43555</v>
      </c>
    </row>
    <row r="25" spans="2:11">
      <c r="B25" s="14"/>
      <c r="C25" s="14"/>
      <c r="D25" s="40"/>
      <c r="E25" s="41"/>
      <c r="F25" s="41"/>
    </row>
    <row r="26" spans="2:11">
      <c r="B26" s="201" t="s">
        <v>304</v>
      </c>
      <c r="C26" s="14"/>
      <c r="D26" s="1008" t="s">
        <v>592</v>
      </c>
      <c r="E26" s="41"/>
      <c r="F26" s="41"/>
    </row>
    <row r="27" spans="2:11">
      <c r="B27" s="201"/>
      <c r="C27" s="14"/>
      <c r="D27" s="40"/>
      <c r="E27" s="41"/>
      <c r="F27" s="41"/>
    </row>
    <row r="28" spans="2:11">
      <c r="B28" s="14"/>
      <c r="D28" s="363" t="s">
        <v>274</v>
      </c>
      <c r="E28" s="41"/>
      <c r="F28" s="41"/>
    </row>
    <row r="29" spans="2:11">
      <c r="B29" t="s">
        <v>24</v>
      </c>
      <c r="D29" s="1008">
        <v>823.4</v>
      </c>
    </row>
    <row r="30" spans="2:11">
      <c r="B30" t="s">
        <v>25</v>
      </c>
      <c r="D30" s="1008">
        <v>4674.5</v>
      </c>
    </row>
    <row r="31" spans="2:11">
      <c r="D31" s="709"/>
    </row>
    <row r="32" spans="2:11">
      <c r="B32" t="s">
        <v>26</v>
      </c>
      <c r="D32" s="1008">
        <v>649.19999999999993</v>
      </c>
    </row>
    <row r="33" spans="2:4">
      <c r="B33" t="s">
        <v>27</v>
      </c>
      <c r="D33" s="1008">
        <v>4045.9</v>
      </c>
    </row>
    <row r="34" spans="2:4">
      <c r="D34" s="709"/>
    </row>
    <row r="35" spans="2:4">
      <c r="B35" s="43" t="s">
        <v>29</v>
      </c>
      <c r="D35" s="17">
        <f>D29-D32</f>
        <v>174.20000000000005</v>
      </c>
    </row>
    <row r="36" spans="2:4">
      <c r="B36" s="43" t="s">
        <v>28</v>
      </c>
      <c r="D36" s="17">
        <f>D30-D33</f>
        <v>628.59999999999991</v>
      </c>
    </row>
    <row r="37" spans="2:4">
      <c r="D37" s="709"/>
    </row>
    <row r="38" spans="2:4">
      <c r="B38" t="s">
        <v>30</v>
      </c>
      <c r="D38" s="1008">
        <v>179.2</v>
      </c>
    </row>
    <row r="39" spans="2:4">
      <c r="B39" t="s">
        <v>31</v>
      </c>
      <c r="D39" s="1008">
        <v>39.6</v>
      </c>
    </row>
  </sheetData>
  <mergeCells count="1">
    <mergeCell ref="D21:D23"/>
  </mergeCells>
  <conditionalFormatting sqref="D6:J6">
    <cfRule type="expression" dxfId="34" priority="38">
      <formula>AND(D$4="Actuals",E$4="Forecast")</formula>
    </cfRule>
  </conditionalFormatting>
  <conditionalFormatting sqref="K11">
    <cfRule type="expression" dxfId="33" priority="32">
      <formula>K$5="Forecast"</formula>
    </cfRule>
    <cfRule type="expression" dxfId="32" priority="33">
      <formula>K$5="Actuals"</formula>
    </cfRule>
  </conditionalFormatting>
  <conditionalFormatting sqref="D8:K8">
    <cfRule type="expression" dxfId="31" priority="36">
      <formula>D$5="Forecast"</formula>
    </cfRule>
    <cfRule type="expression" dxfId="30" priority="37">
      <formula>D$5="Actuals"</formula>
    </cfRule>
  </conditionalFormatting>
  <conditionalFormatting sqref="K10">
    <cfRule type="expression" dxfId="29" priority="34">
      <formula>K$5="Forecast"</formula>
    </cfRule>
    <cfRule type="expression" dxfId="28" priority="35">
      <formula>K$5="Actuals"</formula>
    </cfRule>
  </conditionalFormatting>
  <conditionalFormatting sqref="D5:K6">
    <cfRule type="expression" dxfId="27" priority="31">
      <formula>AND(D$5="Actuals",E$5="Forecast")</formula>
    </cfRule>
  </conditionalFormatting>
  <conditionalFormatting sqref="D21">
    <cfRule type="expression" dxfId="26" priority="28">
      <formula>AND(E$4="Actuals",F$4="Forecast")</formula>
    </cfRule>
  </conditionalFormatting>
  <conditionalFormatting sqref="K6">
    <cfRule type="expression" dxfId="25" priority="134">
      <formula>AND(K$4="Actuals",#REF!="Forecast")</formula>
    </cfRule>
  </conditionalFormatting>
  <conditionalFormatting sqref="K5">
    <cfRule type="expression" dxfId="24" priority="136">
      <formula>AND(K$5="Actuals",#REF!="Forecast")</formula>
    </cfRule>
  </conditionalFormatting>
  <conditionalFormatting sqref="D10:J10">
    <cfRule type="expression" dxfId="23" priority="21">
      <formula>D$5="Forecast"</formula>
    </cfRule>
    <cfRule type="expression" dxfId="22" priority="22">
      <formula>D$5="Actuals"</formula>
    </cfRule>
  </conditionalFormatting>
  <conditionalFormatting sqref="D11:J11">
    <cfRule type="expression" dxfId="21" priority="19">
      <formula>D$5="Forecast"</formula>
    </cfRule>
    <cfRule type="expression" dxfId="20" priority="20">
      <formula>D$5="Actuals"</formula>
    </cfRule>
  </conditionalFormatting>
  <conditionalFormatting sqref="D17:K17">
    <cfRule type="expression" dxfId="19" priority="17">
      <formula>D$5="Forecast"</formula>
    </cfRule>
    <cfRule type="expression" dxfId="18" priority="18">
      <formula>D$5="Actuals"</formula>
    </cfRule>
  </conditionalFormatting>
  <conditionalFormatting sqref="D18:K18">
    <cfRule type="expression" dxfId="17" priority="15">
      <formula>D$5="Forecast"</formula>
    </cfRule>
    <cfRule type="expression" dxfId="16" priority="16">
      <formula>D$5="Actuals"</formula>
    </cfRule>
  </conditionalFormatting>
  <conditionalFormatting sqref="D29">
    <cfRule type="expression" dxfId="15" priority="13">
      <formula>D$5="Forecast"</formula>
    </cfRule>
    <cfRule type="expression" dxfId="14" priority="14">
      <formula>D$5="Actuals"</formula>
    </cfRule>
  </conditionalFormatting>
  <conditionalFormatting sqref="D30">
    <cfRule type="expression" dxfId="13" priority="11">
      <formula>D$5="Forecast"</formula>
    </cfRule>
    <cfRule type="expression" dxfId="12" priority="12">
      <formula>D$5="Actuals"</formula>
    </cfRule>
  </conditionalFormatting>
  <conditionalFormatting sqref="D32">
    <cfRule type="expression" dxfId="11" priority="9">
      <formula>D$5="Forecast"</formula>
    </cfRule>
    <cfRule type="expression" dxfId="10" priority="10">
      <formula>D$5="Actuals"</formula>
    </cfRule>
  </conditionalFormatting>
  <conditionalFormatting sqref="D33">
    <cfRule type="expression" dxfId="9" priority="7">
      <formula>D$5="Forecast"</formula>
    </cfRule>
    <cfRule type="expression" dxfId="8" priority="8">
      <formula>D$5="Actuals"</formula>
    </cfRule>
  </conditionalFormatting>
  <conditionalFormatting sqref="D26">
    <cfRule type="expression" dxfId="7" priority="5">
      <formula>D$5="Forecast"</formula>
    </cfRule>
    <cfRule type="expression" dxfId="6" priority="6">
      <formula>D$5="Actuals"</formula>
    </cfRule>
  </conditionalFormatting>
  <conditionalFormatting sqref="D38">
    <cfRule type="expression" dxfId="5" priority="3">
      <formula>D$5="Forecast"</formula>
    </cfRule>
    <cfRule type="expression" dxfId="4" priority="4">
      <formula>D$5="Actuals"</formula>
    </cfRule>
  </conditionalFormatting>
  <conditionalFormatting sqref="D39">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50" t="s">
        <v>251</v>
      </c>
      <c r="B1" s="860"/>
      <c r="C1" s="257"/>
      <c r="D1" s="257"/>
      <c r="E1" s="257"/>
      <c r="F1" s="257"/>
      <c r="G1" s="257"/>
      <c r="H1" s="257"/>
      <c r="I1" s="258"/>
      <c r="J1" s="258"/>
      <c r="K1" s="259"/>
      <c r="L1" s="364"/>
      <c r="M1" s="33"/>
      <c r="N1" s="33"/>
      <c r="O1" s="32" t="s">
        <v>81</v>
      </c>
      <c r="P1" s="33"/>
      <c r="Q1" s="33"/>
      <c r="R1" s="33"/>
      <c r="S1" s="33"/>
    </row>
    <row r="2" spans="1:19" s="31" customFormat="1" ht="20.25">
      <c r="A2" s="853" t="str">
        <f>'RFPR cover'!C5</f>
        <v>SPD</v>
      </c>
      <c r="B2" s="845"/>
      <c r="C2" s="29"/>
      <c r="D2" s="29"/>
      <c r="E2" s="29"/>
      <c r="F2" s="29"/>
      <c r="G2" s="29"/>
      <c r="H2" s="29"/>
      <c r="I2" s="27"/>
      <c r="J2" s="27"/>
      <c r="K2" s="27"/>
      <c r="L2" s="124"/>
      <c r="M2" s="33"/>
      <c r="N2" s="33"/>
      <c r="O2" s="32" t="s">
        <v>81</v>
      </c>
      <c r="P2" s="33"/>
      <c r="Q2" s="33"/>
      <c r="R2" s="33"/>
      <c r="S2" s="33"/>
    </row>
    <row r="3" spans="1:19" s="31" customFormat="1" ht="20.25">
      <c r="A3" s="856">
        <f>'RFPR cover'!C7</f>
        <v>2022</v>
      </c>
      <c r="B3" s="863"/>
      <c r="C3" s="261"/>
      <c r="D3" s="261"/>
      <c r="E3" s="261"/>
      <c r="F3" s="261"/>
      <c r="G3" s="261"/>
      <c r="H3" s="261"/>
      <c r="I3" s="256"/>
      <c r="J3" s="256"/>
      <c r="K3" s="256"/>
      <c r="L3" s="262"/>
      <c r="M3" s="33"/>
      <c r="N3" s="33"/>
      <c r="O3" s="32" t="s">
        <v>81</v>
      </c>
      <c r="P3" s="33"/>
      <c r="Q3" s="33"/>
      <c r="R3" s="33"/>
      <c r="S3" s="33"/>
    </row>
    <row r="4" spans="1:19" s="2" customFormat="1" ht="12.75" customHeight="1">
      <c r="M4" s="33"/>
      <c r="N4" s="33"/>
      <c r="O4" s="32" t="s">
        <v>81</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M5" s="33"/>
      <c r="N5" s="33"/>
      <c r="O5" s="32" t="s">
        <v>81</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16"/>
      <c r="E7" s="716"/>
      <c r="F7" s="716"/>
      <c r="G7" s="716"/>
      <c r="H7" s="716"/>
      <c r="I7" s="716"/>
      <c r="J7" s="716"/>
      <c r="K7" s="716"/>
    </row>
    <row r="8" spans="1:19">
      <c r="B8" s="51" t="s">
        <v>451</v>
      </c>
      <c r="C8" s="211" t="str">
        <f>'RFPR cover'!$C$14</f>
        <v>£m 12/13</v>
      </c>
      <c r="D8" s="713">
        <f>(D16+D21)/Data!C34</f>
        <v>1.6347945134196499E-3</v>
      </c>
      <c r="E8" s="714">
        <f>(E16+E21)/Data!D34</f>
        <v>6.0243111914699303E-3</v>
      </c>
      <c r="F8" s="714">
        <f>(F16+F21)/Data!E34</f>
        <v>4.1164547503164698E-3</v>
      </c>
      <c r="G8" s="714">
        <f>(G16+G21)/Data!F34</f>
        <v>3.3483730740925068E-2</v>
      </c>
      <c r="H8" s="714">
        <f>(H16+H21)/Data!G34</f>
        <v>7.2873906635998936E-2</v>
      </c>
      <c r="I8" s="714">
        <f>(I16+I21)/Data!H34</f>
        <v>3.5478235427762038E-2</v>
      </c>
      <c r="J8" s="714">
        <f>(J16+J21)/Data!I34</f>
        <v>0.93826476796379144</v>
      </c>
      <c r="K8" s="715">
        <f>(K16+K21)/Data!J34</f>
        <v>0</v>
      </c>
    </row>
    <row r="9" spans="1:19">
      <c r="D9" s="716"/>
      <c r="E9" s="716"/>
      <c r="F9" s="716"/>
      <c r="G9" s="716"/>
      <c r="H9" s="716"/>
      <c r="I9" s="716"/>
      <c r="J9" s="716"/>
      <c r="K9" s="716"/>
    </row>
    <row r="10" spans="1:19">
      <c r="B10" s="14" t="s">
        <v>435</v>
      </c>
      <c r="D10" s="716"/>
      <c r="E10" s="716"/>
      <c r="F10" s="716"/>
      <c r="G10" s="716"/>
      <c r="H10" s="716"/>
      <c r="I10" s="716"/>
      <c r="J10" s="716"/>
      <c r="K10" s="716"/>
    </row>
    <row r="11" spans="1:19">
      <c r="B11" s="44" t="s">
        <v>591</v>
      </c>
      <c r="C11" s="153" t="s">
        <v>125</v>
      </c>
      <c r="D11" s="590">
        <v>0</v>
      </c>
      <c r="E11" s="591">
        <v>0</v>
      </c>
      <c r="F11" s="591">
        <v>0</v>
      </c>
      <c r="G11" s="591">
        <v>0</v>
      </c>
      <c r="H11" s="591">
        <v>0</v>
      </c>
      <c r="I11" s="591">
        <v>0</v>
      </c>
      <c r="J11" s="591">
        <v>0</v>
      </c>
      <c r="K11" s="600">
        <v>0</v>
      </c>
    </row>
    <row r="12" spans="1:19">
      <c r="B12" s="44" t="s">
        <v>591</v>
      </c>
      <c r="C12" s="153" t="s">
        <v>125</v>
      </c>
      <c r="D12" s="592">
        <v>0</v>
      </c>
      <c r="E12" s="593">
        <v>0</v>
      </c>
      <c r="F12" s="593">
        <v>0</v>
      </c>
      <c r="G12" s="593">
        <v>0</v>
      </c>
      <c r="H12" s="593">
        <v>0</v>
      </c>
      <c r="I12" s="593">
        <v>0</v>
      </c>
      <c r="J12" s="593">
        <v>0</v>
      </c>
      <c r="K12" s="601">
        <v>0</v>
      </c>
    </row>
    <row r="13" spans="1:19">
      <c r="B13" s="44" t="s">
        <v>590</v>
      </c>
      <c r="C13" s="153" t="s">
        <v>125</v>
      </c>
      <c r="D13" s="922">
        <v>0</v>
      </c>
      <c r="E13" s="923">
        <v>0</v>
      </c>
      <c r="F13" s="923">
        <v>0</v>
      </c>
      <c r="G13" s="923">
        <v>0</v>
      </c>
      <c r="H13" s="923">
        <v>0</v>
      </c>
      <c r="I13" s="923">
        <v>0</v>
      </c>
      <c r="J13" s="923">
        <v>0</v>
      </c>
      <c r="K13" s="610">
        <v>0</v>
      </c>
    </row>
    <row r="14" spans="1:19">
      <c r="B14" s="14" t="s">
        <v>448</v>
      </c>
      <c r="C14" s="153" t="s">
        <v>125</v>
      </c>
      <c r="D14" s="713">
        <f>SUM(D11:D13)</f>
        <v>0</v>
      </c>
      <c r="E14" s="714">
        <f t="shared" ref="E14:K14" si="1">SUM(E11:E13)</f>
        <v>0</v>
      </c>
      <c r="F14" s="714">
        <f t="shared" si="1"/>
        <v>0</v>
      </c>
      <c r="G14" s="714">
        <f t="shared" si="1"/>
        <v>0</v>
      </c>
      <c r="H14" s="714">
        <f t="shared" si="1"/>
        <v>0</v>
      </c>
      <c r="I14" s="714">
        <f t="shared" si="1"/>
        <v>0</v>
      </c>
      <c r="J14" s="714">
        <f t="shared" si="1"/>
        <v>0</v>
      </c>
      <c r="K14" s="715">
        <f t="shared" si="1"/>
        <v>0</v>
      </c>
    </row>
    <row r="15" spans="1:19">
      <c r="B15" s="35" t="s">
        <v>442</v>
      </c>
      <c r="C15" s="153" t="s">
        <v>125</v>
      </c>
      <c r="D15" s="614">
        <v>0</v>
      </c>
      <c r="E15" s="615">
        <v>0</v>
      </c>
      <c r="F15" s="615">
        <v>0</v>
      </c>
      <c r="G15" s="615">
        <v>0</v>
      </c>
      <c r="H15" s="615">
        <v>0</v>
      </c>
      <c r="I15" s="615">
        <v>0</v>
      </c>
      <c r="J15" s="615">
        <v>0</v>
      </c>
      <c r="K15" s="1001">
        <v>0</v>
      </c>
    </row>
    <row r="16" spans="1:19">
      <c r="B16" s="51" t="s">
        <v>449</v>
      </c>
      <c r="C16" s="153" t="s">
        <v>125</v>
      </c>
      <c r="D16" s="713">
        <f>D14-D15</f>
        <v>0</v>
      </c>
      <c r="E16" s="714">
        <f t="shared" ref="E16:K16" si="2">E14-E15</f>
        <v>0</v>
      </c>
      <c r="F16" s="714">
        <f t="shared" si="2"/>
        <v>0</v>
      </c>
      <c r="G16" s="714">
        <f t="shared" si="2"/>
        <v>0</v>
      </c>
      <c r="H16" s="714">
        <f t="shared" si="2"/>
        <v>0</v>
      </c>
      <c r="I16" s="714">
        <f t="shared" si="2"/>
        <v>0</v>
      </c>
      <c r="J16" s="714">
        <f t="shared" si="2"/>
        <v>0</v>
      </c>
      <c r="K16" s="715">
        <f t="shared" si="2"/>
        <v>0</v>
      </c>
    </row>
    <row r="18" spans="2:11">
      <c r="B18" s="14" t="s">
        <v>446</v>
      </c>
      <c r="D18" s="716"/>
      <c r="E18" s="716"/>
      <c r="F18" s="716"/>
      <c r="G18" s="716"/>
      <c r="H18" s="716"/>
      <c r="I18" s="716"/>
      <c r="J18" s="716"/>
      <c r="K18" s="716"/>
    </row>
    <row r="19" spans="2:11">
      <c r="B19" s="797" t="s">
        <v>447</v>
      </c>
      <c r="C19" s="153" t="s">
        <v>125</v>
      </c>
      <c r="D19" s="590">
        <v>2.14E-3</v>
      </c>
      <c r="E19" s="591">
        <v>8.0549999999999997E-3</v>
      </c>
      <c r="F19" s="591">
        <v>5.7099999999999998E-3</v>
      </c>
      <c r="G19" s="591">
        <v>4.7864999999999998E-2</v>
      </c>
      <c r="H19" s="591">
        <v>0.10687000000000001</v>
      </c>
      <c r="I19" s="591">
        <v>5.2659999999999998E-2</v>
      </c>
      <c r="J19" s="591">
        <v>1.4731000000000001</v>
      </c>
      <c r="K19" s="600">
        <v>0</v>
      </c>
    </row>
    <row r="20" spans="2:11">
      <c r="B20" s="35" t="s">
        <v>442</v>
      </c>
      <c r="C20" s="153" t="s">
        <v>125</v>
      </c>
      <c r="D20" s="922">
        <v>4.0660000000000002E-4</v>
      </c>
      <c r="E20" s="923">
        <v>1.53045E-3</v>
      </c>
      <c r="F20" s="923">
        <v>1.0849E-3</v>
      </c>
      <c r="G20" s="923">
        <v>9.0943499999999993E-3</v>
      </c>
      <c r="H20" s="923">
        <v>2.0305300000000002E-2</v>
      </c>
      <c r="I20" s="923">
        <v>1.0005399999999999E-2</v>
      </c>
      <c r="J20" s="923">
        <v>0.279889</v>
      </c>
      <c r="K20" s="610">
        <v>0</v>
      </c>
    </row>
    <row r="21" spans="2:11">
      <c r="B21" s="51" t="s">
        <v>450</v>
      </c>
      <c r="C21" s="153" t="s">
        <v>125</v>
      </c>
      <c r="D21" s="713">
        <f>D19-D20</f>
        <v>1.7334E-3</v>
      </c>
      <c r="E21" s="714">
        <f t="shared" ref="E21:K21" si="3">E19-E20</f>
        <v>6.5245499999999996E-3</v>
      </c>
      <c r="F21" s="714">
        <f t="shared" si="3"/>
        <v>4.6251E-3</v>
      </c>
      <c r="G21" s="714">
        <f t="shared" si="3"/>
        <v>3.8770649999999997E-2</v>
      </c>
      <c r="H21" s="714">
        <f t="shared" si="3"/>
        <v>8.6564700000000008E-2</v>
      </c>
      <c r="I21" s="714">
        <f t="shared" si="3"/>
        <v>4.2654600000000001E-2</v>
      </c>
      <c r="J21" s="714">
        <f t="shared" si="3"/>
        <v>1.193211</v>
      </c>
      <c r="K21" s="715">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45BB1054A305E4199FB9992CE5E8990" ma:contentTypeVersion="3" ma:contentTypeDescription="Create a new document." ma:contentTypeScope="" ma:versionID="c0f7a11b25610f3770985f9c8c3036de">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BAD9730B-FB10-42F4-BB8C-B579F7E55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Holland, David</cp:lastModifiedBy>
  <cp:lastPrinted>2018-10-02T10:25:02Z</cp:lastPrinted>
  <dcterms:created xsi:type="dcterms:W3CDTF">2018-06-13T08:32:09Z</dcterms:created>
  <dcterms:modified xsi:type="dcterms:W3CDTF">2022-07-28T11:26:46Z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0x010100045BB1054A305E4199FB9992CE5E8990</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MSIP_Label_019c027e-33b7-45fc-a572-8ffa5d09ec36_Enabled">
    <vt:lpwstr>true</vt:lpwstr>
  </property>
  <property fmtid="{D5CDD505-2E9C-101B-9397-08002B2CF9AE}" pid="17" name="MSIP_Label_019c027e-33b7-45fc-a572-8ffa5d09ec36_SetDate">
    <vt:lpwstr>2022-07-28T11:26:45Z</vt:lpwstr>
  </property>
  <property fmtid="{D5CDD505-2E9C-101B-9397-08002B2CF9AE}" pid="18" name="MSIP_Label_019c027e-33b7-45fc-a572-8ffa5d09ec36_Method">
    <vt:lpwstr>Standard</vt:lpwstr>
  </property>
  <property fmtid="{D5CDD505-2E9C-101B-9397-08002B2CF9AE}" pid="19" name="MSIP_Label_019c027e-33b7-45fc-a572-8ffa5d09ec36_Name">
    <vt:lpwstr>Internal Use</vt:lpwstr>
  </property>
  <property fmtid="{D5CDD505-2E9C-101B-9397-08002B2CF9AE}" pid="20" name="MSIP_Label_019c027e-33b7-45fc-a572-8ffa5d09ec36_SiteId">
    <vt:lpwstr>031a09bc-a2bf-44df-888e-4e09355b7a24</vt:lpwstr>
  </property>
  <property fmtid="{D5CDD505-2E9C-101B-9397-08002B2CF9AE}" pid="21" name="MSIP_Label_019c027e-33b7-45fc-a572-8ffa5d09ec36_ActionId">
    <vt:lpwstr>c5f34b7f-435c-406a-bb75-053aeaf846e2</vt:lpwstr>
  </property>
  <property fmtid="{D5CDD505-2E9C-101B-9397-08002B2CF9AE}" pid="22" name="MSIP_Label_019c027e-33b7-45fc-a572-8ffa5d09ec36_ContentBits">
    <vt:lpwstr>2</vt:lpwstr>
  </property>
</Properties>
</file>